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4385" windowHeight="5850"/>
  </bookViews>
  <sheets>
    <sheet name="First Page" sheetId="29" r:id="rId1"/>
    <sheet name="Overview" sheetId="1" r:id="rId2"/>
    <sheet name="Mean Cp_PK" sheetId="7" r:id="rId3"/>
    <sheet name="Indiv Cp_PK" sheetId="8" r:id="rId4"/>
    <sheet name="Dosage form" sheetId="15" r:id="rId5"/>
    <sheet name="Compound" sheetId="10" r:id="rId6"/>
    <sheet name="Physiology" sheetId="11" r:id="rId7"/>
    <sheet name="PK" sheetId="16" r:id="rId8"/>
    <sheet name="Dissolution" sheetId="14" r:id="rId9"/>
    <sheet name="G-plus-results" sheetId="22" r:id="rId10"/>
    <sheet name="Notes" sheetId="5" r:id="rId11"/>
    <sheet name="User manual" sheetId="17" r:id="rId12"/>
    <sheet name="#4Drugs" sheetId="27" r:id="rId13"/>
    <sheet name="Ref" sheetId="28" r:id="rId14"/>
  </sheets>
  <definedNames>
    <definedName name="_xlnm._FilterDatabase" localSheetId="3" hidden="1">'Indiv Cp_PK'!$A$35:$CS$82</definedName>
    <definedName name="_xlnm._FilterDatabase" localSheetId="1" hidden="1">Overview!$A$1:$S$110</definedName>
    <definedName name="CAT">#REF!</definedName>
    <definedName name="DF_Beloc_ZOC">'Dosage form'!$V$9</definedName>
    <definedName name="DF_IntelliCap_25619">'Dosage form'!$B$9</definedName>
    <definedName name="DF_Lopressor_OROS">'Dosage form'!$S$9</definedName>
    <definedName name="DF_Lopressor_SR">'Dosage form'!$R$9</definedName>
    <definedName name="DF_Lopressor_Tab_IR">'Dosage form'!$Q$9</definedName>
    <definedName name="DF_sol_25619">'Dosage form'!$K$9</definedName>
    <definedName name="DF_Toprol_XL_OROS">'Dosage form'!$O$9</definedName>
    <definedName name="Diss_Al_Saidan2004_tab">Dissolution!$BV$9</definedName>
    <definedName name="Diss_Eddingtion1998_fast">Dissolution!$Z$9</definedName>
    <definedName name="Diss_Eddingtion1998_moderate">Dissolution!$AD$9</definedName>
    <definedName name="Diss_Eddingtion1998_slow">Dissolution!$AH$9</definedName>
    <definedName name="Diss_Sandberg1988_ZOC">Dissolution!$BZ$9</definedName>
    <definedName name="Diss_Söderlind2015_A">Dissolution!$B$9</definedName>
    <definedName name="Diss_Söderlind2015_B">Dissolution!$F$9</definedName>
    <definedName name="Diss_Söderlind2015_C">Dissolution!$J$9</definedName>
    <definedName name="Diss_Söderlind2015_D">Dissolution!$N$9</definedName>
    <definedName name="Ind_Cp_Albin1993_IR">'Indiv Cp_PK'!$AZ$9</definedName>
    <definedName name="Ind_Cp_Albin1993_MR">'Indiv Cp_PK'!$BI$9</definedName>
    <definedName name="Ind_Cp_Söderlind2015_A">'Indiv Cp_PK'!$B$9</definedName>
    <definedName name="Ind_Cp_Söderlind2015_B">'Indiv Cp_PK'!$N$9</definedName>
    <definedName name="Ind_Cp_Söderlind2015_C">'Indiv Cp_PK'!$Z$9</definedName>
    <definedName name="Ind_Cp_Söderlind2015_D">'Indiv Cp_PK'!$AM$9</definedName>
    <definedName name="IVIVC_A">Dissolution!$B$130</definedName>
    <definedName name="Mean_Cp_Abrahamsson1990_fast_IR">'Mean Cp_PK'!$HJ$9</definedName>
    <definedName name="Mean_Cp_Abrahamsson1990_fast_MR">'Mean Cp_PK'!$HN$9</definedName>
    <definedName name="Mean_Cp_Al_Saidan2004_IR">'Mean Cp_PK'!$BV$9</definedName>
    <definedName name="Mean_Cp_Albin1993_DS">'Mean Cp_PK'!$EH$9</definedName>
    <definedName name="Mean_Cp_Albin1993_MR">'Mean Cp_PK'!$EL$9</definedName>
    <definedName name="Mean_Cp_Borg1975_iv_0_5mg">'Mean Cp_PK'!$EP$9</definedName>
    <definedName name="Mean_Cp_Borg1975_iv_0_5mg_SS">'Mean Cp_PK'!$FF$9</definedName>
    <definedName name="Mean_Cp_Borg1975_iv_2mg">'Mean Cp_PK'!$EX$9</definedName>
    <definedName name="Mean_Cp_Borg1975_po_0_5mg">'Mean Cp_PK'!$ET$9</definedName>
    <definedName name="Mean_Cp_Borg1975_po_2mg">'Mean Cp_PK'!$FB$9</definedName>
    <definedName name="Mean_Cp_Eddingtion1998_solution">'Mean Cp_PK'!$CX$9</definedName>
    <definedName name="Mean_Cp_Eddingtion1998_SR_fast">'Mean Cp_PK'!$CL$9</definedName>
    <definedName name="Mean_Cp_Eddingtion1998_SR_medium">'Mean Cp_PK'!$CP$9</definedName>
    <definedName name="Mean_Cp_Eddingtion1998_SR_slow">'Mean Cp_PK'!$CT$9</definedName>
    <definedName name="Mean_Cp_Gao2010_HCT">'Mean Cp_PK'!$JV$9</definedName>
    <definedName name="Mean_Cp_Gao2010_Meto">'Mean Cp_PK'!$JR$9</definedName>
    <definedName name="Mean_Cp_Goodbillon1985a">'Mean Cp_PK'!$R$9</definedName>
    <definedName name="Mean_Cp_Goodbillon1985b">'Mean Cp_PK'!$V$9</definedName>
    <definedName name="Mean_Cp_Grainger1985_IR">'Mean Cp_PK'!$DB$9</definedName>
    <definedName name="Mean_Cp_Grainger1985_OROS">'Mean Cp_PK'!$DF$9</definedName>
    <definedName name="Mean_Cp_Kendall1982_MR">'Mean Cp_PK'!$AD$9</definedName>
    <definedName name="Mean_Cp_Kendall1982_MR_8">'Mean Cp_PK'!$AL$9</definedName>
    <definedName name="Mean_Cp_Kendall1982_OROS">'Mean Cp_PK'!$Z$9</definedName>
    <definedName name="Mean_Cp_Kendall1982_OROS_8">'Mean Cp_PK'!$AH$9</definedName>
    <definedName name="Mean_Cp_Kerkhof2014">'Mean Cp_PK'!$ED$9</definedName>
    <definedName name="Mean_Cp_Lecaillon1985_fast">'Mean Cp_PK'!$GD$9</definedName>
    <definedName name="Mean_Cp_Lecaillon1985_fast_M">'Mean Cp_PK'!$GT$9</definedName>
    <definedName name="Mean_Cp_Lecaillon1985_fed_B">'Mean Cp_PK'!$GH$9</definedName>
    <definedName name="Mean_Cp_Lecaillon1985_fed_D">'Mean Cp_PK'!$GP$9</definedName>
    <definedName name="Mean_Cp_Lecaillon1985_fed_L">'Mean Cp_PK'!$GL$9</definedName>
    <definedName name="Mean_Cp_Lecaillon1985_fed_M_B">'Mean Cp_PK'!$GX$9</definedName>
    <definedName name="Mean_Cp_Lecaillon1985_fed_M_D">'Mean Cp_PK'!$HF$9</definedName>
    <definedName name="Mean_Cp_Lecaillon1985_fed_M_L">'Mean Cp_PK'!$HB$9</definedName>
    <definedName name="Mean_Cp_Löbenberg2005_iv">'Mean Cp_PK'!$FN$9</definedName>
    <definedName name="Mean_Cp_Löbenberg2005_po_IR">'Mean Cp_PK'!$FZ$9</definedName>
    <definedName name="Mean_Cp_Löbenberg2005_po_MR">'Mean Cp_PK'!$FV$9</definedName>
    <definedName name="Mean_Cp_Löbenberg2005_po_pulsed">'Mean Cp_PK'!$FR$9</definedName>
    <definedName name="Mean_Cp_Masaoka2006_jejunum">'Mean Cp_PK'!$DR$9</definedName>
    <definedName name="Mean_Cp_Nyberg2007_colon">'Mean Cp_PK'!$CH$9</definedName>
    <definedName name="Mean_Cp_Nyberg2007_illeum">'Mean Cp_PK'!$CD$9</definedName>
    <definedName name="Mean_Cp_Nyberg2007_jejunum">'Mean Cp_PK'!$BZ$9</definedName>
    <definedName name="Mean_Cp_Regardh1974_iv">'Mean Cp_PK'!$AP$9</definedName>
    <definedName name="Mean_Cp_Regardh1974_iv_metab">'Mean Cp_PK'!$AX$9</definedName>
    <definedName name="Mean_Cp_Regardh1974_po">'Mean Cp_PK'!$AT$9</definedName>
    <definedName name="Mean_Cp_Regardh1974_po_metab">'Mean Cp_PK'!$BB$9</definedName>
    <definedName name="Mean_Cp_Regardh1975_IR">'Mean Cp_PK'!$BN$9</definedName>
    <definedName name="Mean_Cp_Regardh1975_MR">'Mean Cp_PK'!$BR$9</definedName>
    <definedName name="Mean_Cp_Regardh1980_iv">'Mean Cp_PK'!$BF$9</definedName>
    <definedName name="Mean_Cp_Regardh1980_iv_multiple">'Mean Cp_PK'!$BJ$9</definedName>
    <definedName name="Mean_Cp_Sandberg1988_100_ZOK">'Mean Cp_PK'!$HV$9</definedName>
    <definedName name="Mean_Cp_Sandberg1988_200_IR">'Mean Cp_PK'!$IP$9</definedName>
    <definedName name="Mean_Cp_Sandberg1988_200_Prelis">'Mean Cp_PK'!$IH$9</definedName>
    <definedName name="Mean_Cp_Sandberg1988_200_Sel">'Mean Cp_PK'!$ID$9</definedName>
    <definedName name="Mean_Cp_Sandberg1988_200_SR">'Mean Cp_PK'!$IL$9</definedName>
    <definedName name="Mean_Cp_Sandberg1988_200_ZOK">'Mean Cp_PK'!$HR$9</definedName>
    <definedName name="Mean_Cp_Sandberg1988_50_ZOK">'Mean Cp_PK'!$HZ$9</definedName>
    <definedName name="Mean_Cp_Sandberg1988_50_ZOK_fed">'Mean Cp_PK'!$IT$9</definedName>
    <definedName name="Mean_Cp_Soederlind2015_b">'Mean Cp_PK'!$N$9</definedName>
    <definedName name="Mean_Cp_Soederlind2015_c">'Mean Cp_PK'!$B$9</definedName>
    <definedName name="Mean_Cp_Soederlind2015_d">'Mean Cp_PK'!$F$9</definedName>
    <definedName name="Mean_Cp_Soederlind2015_e">'Mean Cp_PK'!$J$9</definedName>
    <definedName name="Mean_CP_Stout2011_MetoER">'Mean Cp_PK'!$JJ$9</definedName>
    <definedName name="Mean_CP_Stout2011_MetoeRParIR">'Mean Cp_PK'!$JN$9</definedName>
    <definedName name="Mean_CP_Stout2011_MetoIR">'Mean Cp_PK'!$JB$9</definedName>
    <definedName name="Mean_CP_Stout2011_MetoIRParIR">'Mean Cp_PK'!$JF$9</definedName>
    <definedName name="Path">Overview!$B$1</definedName>
    <definedName name="Sim_001" localSheetId="9">'G-plus-results'!$A$23</definedName>
    <definedName name="SIM_003" localSheetId="9">'G-plus-results'!$U$23</definedName>
    <definedName name="SIM_004" localSheetId="9">'G-plus-results'!$AE$23</definedName>
    <definedName name="SIM_005" localSheetId="9">'G-plus-results'!$AO$23</definedName>
    <definedName name="SIM_006" localSheetId="9">'G-plus-results'!$AY$23</definedName>
    <definedName name="SIM_007" localSheetId="9">'G-plus-results'!$BI$23</definedName>
    <definedName name="SIM_008">'G-plus-results'!$BS$23</definedName>
    <definedName name="SIM_009" localSheetId="9">'G-plus-results'!$CC$23</definedName>
    <definedName name="SIM_010" localSheetId="9">'G-plus-results'!$CM$23</definedName>
    <definedName name="SIM_011" localSheetId="9">'G-plus-results'!$CW$23</definedName>
    <definedName name="SIM_012" localSheetId="9">'G-plus-results'!$DG$23</definedName>
    <definedName name="SIM_013" localSheetId="9">'G-plus-results'!$DQ$23</definedName>
    <definedName name="SIM_014" localSheetId="9">'G-plus-results'!$EA$23</definedName>
    <definedName name="SIM_015" localSheetId="9">'G-plus-results'!$EK$23</definedName>
    <definedName name="SIM_016" localSheetId="9">'G-plus-results'!$EU$23</definedName>
    <definedName name="SIM_017" localSheetId="9">'G-plus-results'!$FE$23</definedName>
    <definedName name="SIM_018" localSheetId="9">'G-plus-results'!$FO$23</definedName>
    <definedName name="SIM_019" localSheetId="9">'G-plus-results'!$FY$23</definedName>
    <definedName name="SIM_020" localSheetId="9">'G-plus-results'!$GI$23</definedName>
    <definedName name="SIM_021" localSheetId="9">'G-plus-results'!$GS$23</definedName>
    <definedName name="SIM_022" localSheetId="9">'G-plus-results'!$HC$23</definedName>
    <definedName name="SIM_023" localSheetId="9">'G-plus-results'!$HM$23</definedName>
    <definedName name="SIM_024" localSheetId="9">'G-plus-results'!$HW$23</definedName>
    <definedName name="SIM_025" localSheetId="9">'G-plus-results'!$IG$23</definedName>
    <definedName name="SIM_026">'G-plus-results'!$IQ$23</definedName>
    <definedName name="SIM_027">'G-plus-results'!$JA$23</definedName>
    <definedName name="SIM_028">'G-plus-results'!$JK$23</definedName>
    <definedName name="SIM_029">'G-plus-results'!$JU$23</definedName>
    <definedName name="SIM_030">'G-plus-results'!$KE$23</definedName>
    <definedName name="SIM_031">'G-plus-results'!$KO$23</definedName>
    <definedName name="SIM_032">'G-plus-results'!$KY$23</definedName>
    <definedName name="SIM_033">'G-plus-results'!$LI$23</definedName>
    <definedName name="SIM_034">'G-plus-results'!$LS$23</definedName>
    <definedName name="SIM_035">'G-plus-results'!$MC$23</definedName>
    <definedName name="SIM_036">'G-plus-results'!$MM$23</definedName>
    <definedName name="SIM_037">'G-plus-results'!$MW$23</definedName>
    <definedName name="SIM_038">'G-plus-results'!$NG$23</definedName>
    <definedName name="SIM_040">'G-plus-results'!$OA$23</definedName>
    <definedName name="SIM_041">'G-plus-results'!$OK$23</definedName>
    <definedName name="SIM_042">'G-plus-results'!$OU$23</definedName>
    <definedName name="SIM_043">'G-plus-results'!$PE$23</definedName>
    <definedName name="SIM_044">'G-plus-results'!$PO$23</definedName>
    <definedName name="SIM_045">'G-plus-results'!$PY$23</definedName>
    <definedName name="SIM_046">'G-plus-results'!$QI$23</definedName>
    <definedName name="SIM_047">'G-plus-results'!$QS$23</definedName>
    <definedName name="SIM_048">'G-plus-results'!$RC$23</definedName>
    <definedName name="SIM_049">'G-plus-results'!$RM$23</definedName>
    <definedName name="SIM_050">'G-plus-results'!$RW$23</definedName>
    <definedName name="SIM_051">'G-plus-results'!$SG$23</definedName>
    <definedName name="SIM_052">'G-plus-results'!$SQ$23</definedName>
    <definedName name="SIM_053">'G-plus-results'!$TA$23</definedName>
    <definedName name="SIM_054">'G-plus-results'!$TK$23</definedName>
    <definedName name="SIM_055">'G-plus-results'!$TU$23</definedName>
    <definedName name="SIM_056">'G-plus-results'!$UE$23</definedName>
    <definedName name="SIM_057">'G-plus-results'!$UO$23</definedName>
    <definedName name="SIM_058">'G-plus-results'!$UY$23</definedName>
    <definedName name="SIM_059">'G-plus-results'!$VI$23</definedName>
    <definedName name="SIM_060">'G-plus-results'!$VS$23</definedName>
    <definedName name="SIM_061">'G-plus-results'!$WC$23</definedName>
    <definedName name="SIM_062">'G-plus-results'!$WM$23</definedName>
    <definedName name="SIM_063">'G-plus-results'!$WW$23</definedName>
    <definedName name="SIM_064">'G-plus-results'!$XG$23</definedName>
    <definedName name="SIM_065">'G-plus-results'!$XQ$23</definedName>
    <definedName name="SIM_066">'G-plus-results'!$YA$23</definedName>
    <definedName name="SIM_067">'G-plus-results'!$YK$23</definedName>
    <definedName name="SIM_068">'G-plus-results'!$YU$23</definedName>
    <definedName name="SIM_069">'G-plus-results'!$ZE$23</definedName>
    <definedName name="SIM_070">'G-plus-results'!$ZO$23</definedName>
    <definedName name="SIM_071">'G-plus-results'!$ZY$23</definedName>
    <definedName name="SIM_072">'G-plus-results'!$AAI$23</definedName>
    <definedName name="SIM_073">'G-plus-results'!$AAS$23</definedName>
    <definedName name="SIM_074">'G-plus-results'!$ABC$23</definedName>
    <definedName name="SIM_075">'G-plus-results'!$ABM$23</definedName>
    <definedName name="SIM_076">'G-plus-results'!$ABW$23</definedName>
    <definedName name="SIM_077">'G-plus-results'!$ACG$23</definedName>
    <definedName name="SIM_078">'G-plus-results'!$ACQ$23</definedName>
    <definedName name="SIM_079">'G-plus-results'!$ADA$23</definedName>
    <definedName name="SIM_080">'G-plus-results'!$ADK$23</definedName>
  </definedNames>
  <calcPr calcId="152511"/>
</workbook>
</file>

<file path=xl/calcChain.xml><?xml version="1.0" encoding="utf-8"?>
<calcChain xmlns="http://schemas.openxmlformats.org/spreadsheetml/2006/main">
  <c r="B3" i="16" l="1"/>
  <c r="B3" i="15"/>
  <c r="E17" i="10"/>
  <c r="E4" i="10"/>
  <c r="L3" i="22" l="1"/>
  <c r="B4" i="17"/>
  <c r="D72" i="8" l="1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71" i="8"/>
  <c r="B3" i="8" l="1"/>
  <c r="L160" i="14"/>
  <c r="L161" i="14"/>
  <c r="L162" i="14"/>
  <c r="L163" i="14"/>
  <c r="L164" i="14"/>
  <c r="L165" i="14"/>
  <c r="L166" i="14"/>
  <c r="L167" i="14"/>
  <c r="L168" i="14"/>
  <c r="L169" i="14"/>
  <c r="L170" i="14"/>
  <c r="L171" i="14"/>
  <c r="L172" i="14"/>
  <c r="L173" i="14"/>
  <c r="L174" i="14"/>
  <c r="L175" i="14"/>
  <c r="L176" i="14"/>
  <c r="L177" i="14"/>
  <c r="L178" i="14"/>
  <c r="L179" i="14"/>
  <c r="L180" i="14"/>
  <c r="L181" i="14"/>
  <c r="L182" i="14"/>
  <c r="L183" i="14"/>
  <c r="L184" i="14"/>
  <c r="L185" i="14"/>
  <c r="L186" i="14"/>
  <c r="L187" i="14"/>
  <c r="L188" i="14"/>
  <c r="L189" i="14"/>
  <c r="L190" i="14"/>
  <c r="L191" i="14"/>
  <c r="L192" i="14"/>
  <c r="L193" i="14"/>
  <c r="L194" i="14"/>
  <c r="L195" i="14"/>
  <c r="L196" i="14"/>
  <c r="L197" i="14"/>
  <c r="L198" i="14"/>
  <c r="L199" i="14"/>
  <c r="L200" i="14"/>
  <c r="L201" i="14"/>
  <c r="L202" i="14"/>
  <c r="L203" i="14"/>
  <c r="L204" i="14"/>
  <c r="L205" i="14"/>
  <c r="L206" i="14"/>
  <c r="L207" i="14"/>
  <c r="L208" i="14"/>
  <c r="L209" i="14"/>
  <c r="L210" i="14"/>
  <c r="L211" i="14"/>
  <c r="L212" i="14"/>
  <c r="L213" i="14"/>
  <c r="L214" i="14"/>
  <c r="L215" i="14"/>
  <c r="L216" i="14"/>
  <c r="L217" i="14"/>
  <c r="L218" i="14"/>
  <c r="L219" i="14"/>
  <c r="L220" i="14"/>
  <c r="L221" i="14"/>
  <c r="L222" i="14"/>
  <c r="L223" i="14"/>
  <c r="L224" i="14"/>
  <c r="L225" i="14"/>
  <c r="L226" i="14"/>
  <c r="L227" i="14"/>
  <c r="L228" i="14"/>
  <c r="L229" i="14"/>
  <c r="L230" i="14"/>
  <c r="L231" i="14"/>
  <c r="L232" i="14"/>
  <c r="L233" i="14"/>
  <c r="L234" i="14"/>
  <c r="L235" i="14"/>
  <c r="L236" i="14"/>
  <c r="L237" i="14"/>
  <c r="L238" i="14"/>
  <c r="L239" i="14"/>
  <c r="L240" i="14"/>
  <c r="L241" i="14"/>
  <c r="L242" i="14"/>
  <c r="L243" i="14"/>
  <c r="L244" i="14"/>
  <c r="L245" i="14"/>
  <c r="L246" i="14"/>
  <c r="L247" i="14"/>
  <c r="L248" i="14"/>
  <c r="L249" i="14"/>
  <c r="L250" i="14"/>
  <c r="L251" i="14"/>
  <c r="L159" i="14"/>
  <c r="L257" i="14"/>
  <c r="M257" i="14"/>
  <c r="L258" i="14"/>
  <c r="M258" i="14"/>
  <c r="L259" i="14"/>
  <c r="M259" i="14"/>
  <c r="L260" i="14"/>
  <c r="M260" i="14"/>
  <c r="L261" i="14"/>
  <c r="M261" i="14"/>
  <c r="L262" i="14"/>
  <c r="M262" i="14"/>
  <c r="L263" i="14"/>
  <c r="M263" i="14"/>
  <c r="L264" i="14"/>
  <c r="M264" i="14"/>
  <c r="L265" i="14"/>
  <c r="M265" i="14"/>
  <c r="L266" i="14"/>
  <c r="M266" i="14"/>
  <c r="L267" i="14"/>
  <c r="M267" i="14"/>
  <c r="L268" i="14"/>
  <c r="M268" i="14"/>
  <c r="L269" i="14"/>
  <c r="M269" i="14"/>
  <c r="L270" i="14"/>
  <c r="M270" i="14"/>
  <c r="L271" i="14"/>
  <c r="M271" i="14"/>
  <c r="L272" i="14"/>
  <c r="M272" i="14"/>
  <c r="L273" i="14"/>
  <c r="M273" i="14"/>
  <c r="L274" i="14"/>
  <c r="M274" i="14"/>
  <c r="L275" i="14"/>
  <c r="M275" i="14"/>
  <c r="L276" i="14"/>
  <c r="M276" i="14"/>
  <c r="M256" i="14"/>
  <c r="L256" i="14"/>
  <c r="BX34" i="14"/>
  <c r="BX35" i="14"/>
  <c r="BX36" i="14"/>
  <c r="BX37" i="14"/>
  <c r="BX38" i="14"/>
  <c r="BX39" i="14"/>
  <c r="CC52" i="14"/>
  <c r="CC53" i="14" s="1"/>
  <c r="CC54" i="14" s="1"/>
  <c r="CC55" i="14" s="1"/>
  <c r="CC56" i="14" s="1"/>
  <c r="CC57" i="14" s="1"/>
  <c r="CC58" i="14" s="1"/>
  <c r="CC59" i="14" s="1"/>
  <c r="CC60" i="14" s="1"/>
  <c r="AB59" i="14"/>
  <c r="AB60" i="14"/>
  <c r="AB61" i="14"/>
  <c r="AB62" i="14"/>
  <c r="AB63" i="14"/>
  <c r="AB64" i="14"/>
  <c r="AB65" i="14"/>
  <c r="AB66" i="14"/>
  <c r="AB67" i="14"/>
  <c r="AB68" i="14"/>
  <c r="AB69" i="14"/>
  <c r="AB71" i="14"/>
  <c r="AB72" i="14"/>
  <c r="AB73" i="14"/>
  <c r="AB74" i="14"/>
  <c r="AB75" i="14"/>
  <c r="AB76" i="14"/>
  <c r="AB77" i="14"/>
  <c r="AB78" i="14"/>
  <c r="AB79" i="14"/>
  <c r="AB80" i="14"/>
  <c r="AB81" i="14"/>
  <c r="AB83" i="14"/>
  <c r="AB84" i="14"/>
  <c r="AB85" i="14"/>
  <c r="AB86" i="14"/>
  <c r="AB87" i="14"/>
  <c r="AB88" i="14"/>
  <c r="AB89" i="14"/>
  <c r="AB90" i="14"/>
  <c r="AB91" i="14"/>
  <c r="AB92" i="14"/>
  <c r="AB93" i="14"/>
  <c r="H257" i="14"/>
  <c r="I257" i="14"/>
  <c r="H258" i="14"/>
  <c r="I258" i="14"/>
  <c r="H259" i="14"/>
  <c r="I259" i="14"/>
  <c r="H260" i="14"/>
  <c r="I260" i="14"/>
  <c r="H261" i="14"/>
  <c r="I261" i="14"/>
  <c r="H262" i="14"/>
  <c r="I262" i="14"/>
  <c r="H263" i="14"/>
  <c r="I263" i="14"/>
  <c r="H264" i="14"/>
  <c r="I264" i="14"/>
  <c r="H265" i="14"/>
  <c r="I265" i="14"/>
  <c r="H266" i="14"/>
  <c r="I266" i="14"/>
  <c r="H267" i="14"/>
  <c r="I267" i="14"/>
  <c r="H268" i="14"/>
  <c r="I268" i="14"/>
  <c r="H269" i="14"/>
  <c r="I269" i="14"/>
  <c r="H270" i="14"/>
  <c r="I270" i="14"/>
  <c r="H271" i="14"/>
  <c r="I271" i="14"/>
  <c r="H272" i="14"/>
  <c r="I272" i="14"/>
  <c r="H273" i="14"/>
  <c r="I273" i="14"/>
  <c r="H274" i="14"/>
  <c r="I274" i="14"/>
  <c r="H275" i="14"/>
  <c r="I275" i="14"/>
  <c r="H276" i="14"/>
  <c r="I276" i="14"/>
  <c r="H277" i="14"/>
  <c r="I277" i="14"/>
  <c r="H278" i="14"/>
  <c r="I278" i="14"/>
  <c r="H279" i="14"/>
  <c r="I279" i="14"/>
  <c r="H280" i="14"/>
  <c r="I280" i="14"/>
  <c r="H281" i="14"/>
  <c r="I281" i="14"/>
  <c r="H282" i="14"/>
  <c r="I282" i="14"/>
  <c r="H283" i="14"/>
  <c r="I283" i="14"/>
  <c r="H284" i="14"/>
  <c r="I284" i="14"/>
  <c r="H285" i="14"/>
  <c r="I285" i="14"/>
  <c r="H286" i="14"/>
  <c r="I286" i="14"/>
  <c r="H287" i="14"/>
  <c r="I287" i="14"/>
  <c r="H288" i="14"/>
  <c r="I288" i="14"/>
  <c r="H289" i="14"/>
  <c r="I289" i="14"/>
  <c r="H290" i="14"/>
  <c r="I290" i="14"/>
  <c r="H291" i="14"/>
  <c r="I291" i="14"/>
  <c r="H292" i="14"/>
  <c r="I292" i="14"/>
  <c r="H293" i="14"/>
  <c r="I293" i="14"/>
  <c r="H294" i="14"/>
  <c r="I294" i="14"/>
  <c r="H295" i="14"/>
  <c r="I295" i="14"/>
  <c r="H296" i="14"/>
  <c r="I296" i="14"/>
  <c r="H297" i="14"/>
  <c r="I297" i="14"/>
  <c r="H298" i="14"/>
  <c r="I298" i="14"/>
  <c r="H299" i="14"/>
  <c r="I299" i="14"/>
  <c r="H300" i="14"/>
  <c r="I300" i="14"/>
  <c r="H301" i="14"/>
  <c r="I301" i="14"/>
  <c r="H302" i="14"/>
  <c r="I302" i="14"/>
  <c r="H303" i="14"/>
  <c r="I303" i="14"/>
  <c r="H304" i="14"/>
  <c r="I304" i="14"/>
  <c r="H305" i="14"/>
  <c r="I305" i="14"/>
  <c r="H306" i="14"/>
  <c r="I306" i="14"/>
  <c r="H307" i="14"/>
  <c r="I307" i="14"/>
  <c r="H308" i="14"/>
  <c r="I308" i="14"/>
  <c r="H309" i="14"/>
  <c r="I309" i="14"/>
  <c r="H310" i="14"/>
  <c r="I310" i="14"/>
  <c r="H311" i="14"/>
  <c r="I311" i="14"/>
  <c r="H312" i="14"/>
  <c r="I312" i="14"/>
  <c r="H313" i="14"/>
  <c r="I313" i="14"/>
  <c r="H314" i="14"/>
  <c r="I314" i="14"/>
  <c r="H315" i="14"/>
  <c r="I315" i="14"/>
  <c r="H316" i="14"/>
  <c r="I316" i="14"/>
  <c r="H317" i="14"/>
  <c r="I317" i="14"/>
  <c r="H318" i="14"/>
  <c r="I318" i="14"/>
  <c r="H319" i="14"/>
  <c r="I319" i="14"/>
  <c r="H320" i="14"/>
  <c r="I320" i="14"/>
  <c r="H321" i="14"/>
  <c r="I321" i="14"/>
  <c r="H322" i="14"/>
  <c r="I322" i="14"/>
  <c r="H323" i="14"/>
  <c r="I323" i="14"/>
  <c r="H324" i="14"/>
  <c r="I324" i="14"/>
  <c r="H325" i="14"/>
  <c r="I325" i="14"/>
  <c r="H326" i="14"/>
  <c r="I326" i="14"/>
  <c r="H327" i="14"/>
  <c r="I327" i="14"/>
  <c r="H328" i="14"/>
  <c r="I328" i="14"/>
  <c r="H329" i="14"/>
  <c r="I329" i="14"/>
  <c r="H330" i="14"/>
  <c r="I330" i="14"/>
  <c r="H331" i="14"/>
  <c r="I331" i="14"/>
  <c r="H332" i="14"/>
  <c r="I332" i="14"/>
  <c r="I256" i="14"/>
  <c r="H256" i="14"/>
  <c r="H160" i="14"/>
  <c r="H161" i="14"/>
  <c r="H162" i="14"/>
  <c r="H163" i="14"/>
  <c r="H164" i="14"/>
  <c r="H165" i="14"/>
  <c r="H166" i="14"/>
  <c r="H167" i="14"/>
  <c r="H168" i="14"/>
  <c r="H169" i="14"/>
  <c r="H170" i="14"/>
  <c r="H171" i="14"/>
  <c r="H172" i="14"/>
  <c r="H173" i="14"/>
  <c r="H174" i="14"/>
  <c r="H175" i="14"/>
  <c r="H176" i="14"/>
  <c r="H177" i="14"/>
  <c r="H178" i="14"/>
  <c r="H179" i="14"/>
  <c r="H180" i="14"/>
  <c r="H181" i="14"/>
  <c r="H182" i="14"/>
  <c r="H183" i="14"/>
  <c r="H184" i="14"/>
  <c r="H185" i="14"/>
  <c r="H186" i="14"/>
  <c r="H187" i="14"/>
  <c r="H188" i="14"/>
  <c r="H189" i="14"/>
  <c r="H190" i="14"/>
  <c r="H191" i="14"/>
  <c r="H192" i="14"/>
  <c r="H193" i="14"/>
  <c r="H194" i="14"/>
  <c r="H195" i="14"/>
  <c r="H196" i="14"/>
  <c r="H197" i="14"/>
  <c r="H198" i="14"/>
  <c r="H199" i="14"/>
  <c r="H200" i="14"/>
  <c r="H201" i="14"/>
  <c r="H202" i="14"/>
  <c r="H203" i="14"/>
  <c r="H204" i="14"/>
  <c r="H205" i="14"/>
  <c r="H206" i="14"/>
  <c r="H207" i="14"/>
  <c r="H208" i="14"/>
  <c r="H209" i="14"/>
  <c r="H210" i="14"/>
  <c r="H211" i="14"/>
  <c r="H212" i="14"/>
  <c r="H213" i="14"/>
  <c r="H214" i="14"/>
  <c r="H215" i="14"/>
  <c r="H216" i="14"/>
  <c r="H217" i="14"/>
  <c r="H218" i="14"/>
  <c r="H219" i="14"/>
  <c r="H220" i="14"/>
  <c r="H221" i="14"/>
  <c r="H222" i="14"/>
  <c r="H223" i="14"/>
  <c r="H224" i="14"/>
  <c r="H225" i="14"/>
  <c r="H226" i="14"/>
  <c r="H227" i="14"/>
  <c r="H228" i="14"/>
  <c r="H229" i="14"/>
  <c r="H230" i="14"/>
  <c r="H231" i="14"/>
  <c r="H232" i="14"/>
  <c r="H233" i="14"/>
  <c r="H234" i="14"/>
  <c r="H235" i="14"/>
  <c r="H236" i="14"/>
  <c r="H237" i="14"/>
  <c r="H238" i="14"/>
  <c r="H239" i="14"/>
  <c r="H240" i="14"/>
  <c r="H241" i="14"/>
  <c r="H242" i="14"/>
  <c r="H243" i="14"/>
  <c r="H244" i="14"/>
  <c r="H245" i="14"/>
  <c r="H246" i="14"/>
  <c r="H247" i="14"/>
  <c r="H248" i="14"/>
  <c r="H249" i="14"/>
  <c r="H250" i="14"/>
  <c r="H159" i="14"/>
  <c r="E257" i="14"/>
  <c r="E258" i="14"/>
  <c r="E259" i="14"/>
  <c r="E260" i="14"/>
  <c r="E261" i="14"/>
  <c r="E262" i="14"/>
  <c r="E263" i="14"/>
  <c r="E264" i="14"/>
  <c r="E265" i="14"/>
  <c r="E266" i="14"/>
  <c r="E267" i="14"/>
  <c r="E268" i="14"/>
  <c r="E269" i="14"/>
  <c r="E270" i="14"/>
  <c r="E271" i="14"/>
  <c r="E272" i="14"/>
  <c r="E273" i="14"/>
  <c r="E274" i="14"/>
  <c r="E275" i="14"/>
  <c r="E276" i="14"/>
  <c r="E277" i="14"/>
  <c r="E278" i="14"/>
  <c r="E279" i="14"/>
  <c r="E280" i="14"/>
  <c r="E281" i="14"/>
  <c r="E282" i="14"/>
  <c r="E283" i="14"/>
  <c r="E284" i="14"/>
  <c r="E285" i="14"/>
  <c r="E286" i="14"/>
  <c r="E287" i="14"/>
  <c r="E288" i="14"/>
  <c r="E289" i="14"/>
  <c r="E290" i="14"/>
  <c r="E291" i="14"/>
  <c r="E292" i="14"/>
  <c r="E293" i="14"/>
  <c r="E294" i="14"/>
  <c r="E295" i="14"/>
  <c r="E296" i="14"/>
  <c r="E297" i="14"/>
  <c r="E298" i="14"/>
  <c r="E299" i="14"/>
  <c r="E300" i="14"/>
  <c r="E301" i="14"/>
  <c r="E302" i="14"/>
  <c r="E303" i="14"/>
  <c r="E304" i="14"/>
  <c r="E305" i="14"/>
  <c r="E306" i="14"/>
  <c r="E307" i="14"/>
  <c r="E308" i="14"/>
  <c r="E309" i="14"/>
  <c r="E310" i="14"/>
  <c r="E311" i="14"/>
  <c r="E312" i="14"/>
  <c r="E313" i="14"/>
  <c r="E314" i="14"/>
  <c r="E315" i="14"/>
  <c r="E316" i="14"/>
  <c r="E317" i="14"/>
  <c r="E318" i="14"/>
  <c r="E319" i="14"/>
  <c r="E320" i="14"/>
  <c r="E321" i="14"/>
  <c r="E322" i="14"/>
  <c r="E323" i="14"/>
  <c r="E256" i="14"/>
  <c r="D257" i="14"/>
  <c r="D258" i="14"/>
  <c r="D259" i="14"/>
  <c r="D260" i="14"/>
  <c r="D261" i="14"/>
  <c r="D262" i="14"/>
  <c r="D263" i="14"/>
  <c r="D264" i="14"/>
  <c r="D265" i="14"/>
  <c r="D266" i="14"/>
  <c r="D267" i="14"/>
  <c r="D268" i="14"/>
  <c r="D269" i="14"/>
  <c r="D270" i="14"/>
  <c r="D271" i="14"/>
  <c r="D272" i="14"/>
  <c r="D273" i="14"/>
  <c r="D274" i="14"/>
  <c r="D275" i="14"/>
  <c r="D276" i="14"/>
  <c r="D277" i="14"/>
  <c r="D278" i="14"/>
  <c r="D279" i="14"/>
  <c r="D280" i="14"/>
  <c r="D281" i="14"/>
  <c r="D282" i="14"/>
  <c r="D283" i="14"/>
  <c r="D284" i="14"/>
  <c r="D285" i="14"/>
  <c r="D286" i="14"/>
  <c r="D287" i="14"/>
  <c r="D288" i="14"/>
  <c r="D289" i="14"/>
  <c r="D290" i="14"/>
  <c r="D291" i="14"/>
  <c r="D292" i="14"/>
  <c r="D293" i="14"/>
  <c r="D294" i="14"/>
  <c r="D295" i="14"/>
  <c r="D296" i="14"/>
  <c r="D297" i="14"/>
  <c r="D298" i="14"/>
  <c r="D299" i="14"/>
  <c r="D300" i="14"/>
  <c r="D301" i="14"/>
  <c r="D302" i="14"/>
  <c r="D303" i="14"/>
  <c r="D304" i="14"/>
  <c r="D305" i="14"/>
  <c r="D306" i="14"/>
  <c r="D307" i="14"/>
  <c r="D308" i="14"/>
  <c r="D309" i="14"/>
  <c r="D310" i="14"/>
  <c r="D311" i="14"/>
  <c r="D312" i="14"/>
  <c r="D313" i="14"/>
  <c r="D314" i="14"/>
  <c r="D315" i="14"/>
  <c r="D316" i="14"/>
  <c r="D317" i="14"/>
  <c r="D318" i="14"/>
  <c r="D319" i="14"/>
  <c r="D320" i="14"/>
  <c r="D321" i="14"/>
  <c r="D322" i="14"/>
  <c r="D323" i="14"/>
  <c r="D256" i="14"/>
  <c r="D165" i="14"/>
  <c r="D166" i="14"/>
  <c r="D167" i="14"/>
  <c r="D168" i="14"/>
  <c r="D169" i="14"/>
  <c r="D170" i="14"/>
  <c r="D171" i="14"/>
  <c r="D172" i="14"/>
  <c r="D173" i="14"/>
  <c r="D174" i="14"/>
  <c r="D175" i="14"/>
  <c r="D176" i="14"/>
  <c r="D177" i="14"/>
  <c r="D178" i="14"/>
  <c r="D179" i="14"/>
  <c r="D180" i="14"/>
  <c r="D181" i="14"/>
  <c r="D182" i="14"/>
  <c r="D183" i="14"/>
  <c r="D184" i="14"/>
  <c r="D185" i="14"/>
  <c r="D186" i="14"/>
  <c r="D187" i="14"/>
  <c r="D188" i="14"/>
  <c r="D189" i="14"/>
  <c r="D190" i="14"/>
  <c r="D191" i="14"/>
  <c r="D192" i="14"/>
  <c r="D193" i="14"/>
  <c r="D194" i="14"/>
  <c r="D195" i="14"/>
  <c r="D196" i="14"/>
  <c r="D197" i="14"/>
  <c r="D198" i="14"/>
  <c r="D199" i="14"/>
  <c r="D200" i="14"/>
  <c r="D201" i="14"/>
  <c r="D202" i="14"/>
  <c r="D203" i="14"/>
  <c r="D204" i="14"/>
  <c r="D205" i="14"/>
  <c r="D206" i="14"/>
  <c r="D207" i="14"/>
  <c r="D208" i="14"/>
  <c r="D209" i="14"/>
  <c r="D210" i="14"/>
  <c r="D211" i="14"/>
  <c r="D212" i="14"/>
  <c r="D213" i="14"/>
  <c r="D214" i="14"/>
  <c r="D215" i="14"/>
  <c r="D216" i="14"/>
  <c r="D217" i="14"/>
  <c r="D218" i="14"/>
  <c r="D219" i="14"/>
  <c r="D220" i="14"/>
  <c r="D221" i="14"/>
  <c r="D222" i="14"/>
  <c r="D223" i="14"/>
  <c r="D224" i="14"/>
  <c r="D225" i="14"/>
  <c r="D226" i="14"/>
  <c r="D227" i="14"/>
  <c r="D228" i="14"/>
  <c r="D229" i="14"/>
  <c r="D230" i="14"/>
  <c r="D231" i="14"/>
  <c r="D232" i="14"/>
  <c r="D233" i="14"/>
  <c r="D234" i="14"/>
  <c r="D235" i="14"/>
  <c r="D236" i="14"/>
  <c r="D237" i="14"/>
  <c r="D238" i="14"/>
  <c r="D239" i="14"/>
  <c r="D240" i="14"/>
  <c r="D241" i="14"/>
  <c r="D242" i="14"/>
  <c r="D243" i="14"/>
  <c r="D244" i="14"/>
  <c r="D245" i="14"/>
  <c r="D246" i="14"/>
  <c r="D247" i="14"/>
  <c r="D248" i="14"/>
  <c r="D160" i="14"/>
  <c r="D161" i="14"/>
  <c r="D162" i="14"/>
  <c r="D163" i="14"/>
  <c r="D164" i="14"/>
  <c r="D159" i="14"/>
  <c r="B3" i="14"/>
  <c r="AA64" i="15"/>
  <c r="AA59" i="15"/>
  <c r="AA58" i="15"/>
  <c r="AA54" i="15"/>
  <c r="AA52" i="15" s="1"/>
  <c r="AB54" i="15" s="1"/>
  <c r="AA53" i="15"/>
  <c r="AA65" i="15" l="1"/>
  <c r="AB65" i="15" s="1"/>
  <c r="AC65" i="15" l="1"/>
  <c r="AC67" i="15" s="1"/>
  <c r="B3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20" i="7"/>
  <c r="K27" i="7"/>
  <c r="L27" i="7"/>
  <c r="J27" i="7"/>
  <c r="P29" i="7"/>
  <c r="N29" i="7"/>
  <c r="N33" i="7" s="1"/>
  <c r="P25" i="7"/>
  <c r="N25" i="7"/>
  <c r="L29" i="7"/>
  <c r="J29" i="7"/>
  <c r="L25" i="7"/>
  <c r="J25" i="7"/>
  <c r="H29" i="7"/>
  <c r="F29" i="7"/>
  <c r="H25" i="7"/>
  <c r="F25" i="7"/>
  <c r="D29" i="7"/>
  <c r="D25" i="7"/>
  <c r="C25" i="7" s="1"/>
  <c r="B29" i="7"/>
  <c r="B25" i="7"/>
  <c r="O29" i="7" l="1"/>
  <c r="O25" i="7"/>
  <c r="K25" i="7"/>
  <c r="G25" i="7"/>
  <c r="K29" i="7"/>
  <c r="G29" i="7"/>
  <c r="H14" i="10"/>
  <c r="F14" i="10"/>
  <c r="B14" i="10"/>
  <c r="JT60" i="7" l="1"/>
  <c r="JT59" i="7"/>
  <c r="JT58" i="7"/>
  <c r="JT57" i="7"/>
  <c r="JT56" i="7"/>
  <c r="JT55" i="7"/>
  <c r="JT54" i="7"/>
  <c r="JT53" i="7"/>
  <c r="JT52" i="7"/>
  <c r="JT51" i="7"/>
  <c r="JT50" i="7"/>
  <c r="JT49" i="7"/>
  <c r="JT48" i="7"/>
  <c r="JT47" i="7"/>
  <c r="JT46" i="7"/>
  <c r="JS70" i="7"/>
  <c r="JS71" i="7"/>
  <c r="JS72" i="7"/>
  <c r="JS73" i="7"/>
  <c r="JS74" i="7"/>
  <c r="JS75" i="7"/>
  <c r="JS76" i="7"/>
  <c r="JS77" i="7"/>
  <c r="JS78" i="7"/>
  <c r="JS79" i="7"/>
  <c r="JS80" i="7"/>
  <c r="JS81" i="7"/>
  <c r="JS82" i="7"/>
  <c r="JS83" i="7"/>
  <c r="JS84" i="7"/>
  <c r="JS86" i="7"/>
  <c r="JS87" i="7"/>
  <c r="JS88" i="7"/>
  <c r="JS89" i="7"/>
  <c r="JS90" i="7"/>
  <c r="JS91" i="7"/>
  <c r="JS92" i="7"/>
  <c r="JS93" i="7"/>
  <c r="JS94" i="7"/>
  <c r="JS95" i="7"/>
  <c r="JP96" i="7"/>
  <c r="JP97" i="7"/>
  <c r="JP98" i="7"/>
  <c r="JP99" i="7"/>
  <c r="JP100" i="7"/>
  <c r="JS85" i="7"/>
  <c r="JX71" i="7"/>
  <c r="JX72" i="7"/>
  <c r="JX73" i="7"/>
  <c r="JX74" i="7"/>
  <c r="JX75" i="7"/>
  <c r="JX76" i="7"/>
  <c r="JX77" i="7"/>
  <c r="JX78" i="7"/>
  <c r="JX79" i="7"/>
  <c r="JX80" i="7"/>
  <c r="JX81" i="7"/>
  <c r="JX82" i="7"/>
  <c r="JX83" i="7"/>
  <c r="JX84" i="7"/>
  <c r="JX70" i="7"/>
  <c r="JX86" i="7"/>
  <c r="JX87" i="7"/>
  <c r="JX88" i="7"/>
  <c r="JX89" i="7"/>
  <c r="JX90" i="7"/>
  <c r="JX91" i="7"/>
  <c r="JX92" i="7"/>
  <c r="JX93" i="7"/>
  <c r="JX94" i="7"/>
  <c r="JX95" i="7"/>
  <c r="JU96" i="7"/>
  <c r="JU97" i="7"/>
  <c r="JU98" i="7"/>
  <c r="JU99" i="7"/>
  <c r="JU100" i="7"/>
  <c r="JX85" i="7"/>
  <c r="JR3" i="7"/>
  <c r="V2" i="15" l="1"/>
  <c r="JB107" i="7" l="1"/>
  <c r="JB97" i="7" s="1"/>
  <c r="JA97" i="7" s="1"/>
  <c r="JE108" i="7"/>
  <c r="JB98" i="7" s="1"/>
  <c r="JA98" i="7" s="1"/>
  <c r="JE109" i="7"/>
  <c r="JB99" i="7" s="1"/>
  <c r="JA99" i="7" s="1"/>
  <c r="JE110" i="7"/>
  <c r="JB100" i="7" s="1"/>
  <c r="JA100" i="7" s="1"/>
  <c r="JE111" i="7"/>
  <c r="JB101" i="7" s="1"/>
  <c r="JA101" i="7" s="1"/>
  <c r="JE112" i="7"/>
  <c r="JB102" i="7" s="1"/>
  <c r="JA102" i="7" s="1"/>
  <c r="JE113" i="7"/>
  <c r="JB103" i="7" s="1"/>
  <c r="JA103" i="7" s="1"/>
  <c r="JE114" i="7"/>
  <c r="JB104" i="7" s="1"/>
  <c r="JA104" i="7" s="1"/>
  <c r="JE115" i="7"/>
  <c r="JB105" i="7" s="1"/>
  <c r="JA105" i="7" s="1"/>
  <c r="JB106" i="7"/>
  <c r="JB96" i="7" s="1"/>
  <c r="JA96" i="7" s="1"/>
  <c r="JE75" i="7"/>
  <c r="JD75" i="7" s="1"/>
  <c r="JE85" i="7"/>
  <c r="JE73" i="7" s="1"/>
  <c r="JD73" i="7" s="1"/>
  <c r="JE86" i="7"/>
  <c r="JE74" i="7" s="1"/>
  <c r="JD74" i="7" s="1"/>
  <c r="JE87" i="7"/>
  <c r="JE88" i="7"/>
  <c r="JE76" i="7" s="1"/>
  <c r="JD76" i="7" s="1"/>
  <c r="JE89" i="7"/>
  <c r="JE77" i="7" s="1"/>
  <c r="JD77" i="7" s="1"/>
  <c r="JE90" i="7"/>
  <c r="JE78" i="7" s="1"/>
  <c r="JD78" i="7" s="1"/>
  <c r="JE91" i="7"/>
  <c r="JE79" i="7" s="1"/>
  <c r="JD79" i="7" s="1"/>
  <c r="JE92" i="7"/>
  <c r="JE80" i="7" s="1"/>
  <c r="JD80" i="7" s="1"/>
  <c r="JE93" i="7"/>
  <c r="JE81" i="7" s="1"/>
  <c r="JD81" i="7" s="1"/>
  <c r="JE94" i="7"/>
  <c r="JE82" i="7" s="1"/>
  <c r="JD82" i="7" s="1"/>
  <c r="JE95" i="7"/>
  <c r="JE83" i="7" s="1"/>
  <c r="JD83" i="7" s="1"/>
  <c r="JE84" i="7"/>
  <c r="JE72" i="7" s="1"/>
  <c r="JD72" i="7" s="1"/>
  <c r="JB3" i="7"/>
  <c r="II97" i="7" l="1"/>
  <c r="II98" i="7"/>
  <c r="II99" i="7"/>
  <c r="II100" i="7"/>
  <c r="II101" i="7"/>
  <c r="II102" i="7"/>
  <c r="II103" i="7"/>
  <c r="II104" i="7"/>
  <c r="II105" i="7"/>
  <c r="II106" i="7"/>
  <c r="II107" i="7"/>
  <c r="IL108" i="7"/>
  <c r="IG97" i="7"/>
  <c r="IG98" i="7"/>
  <c r="IG99" i="7"/>
  <c r="IG100" i="7"/>
  <c r="IG101" i="7"/>
  <c r="IG102" i="7"/>
  <c r="IG103" i="7"/>
  <c r="IG104" i="7"/>
  <c r="IG105" i="7"/>
  <c r="IG106" i="7"/>
  <c r="IG107" i="7"/>
  <c r="IJ108" i="7"/>
  <c r="II96" i="7"/>
  <c r="IG96" i="7"/>
  <c r="IE97" i="7"/>
  <c r="IE98" i="7"/>
  <c r="IE99" i="7"/>
  <c r="IE100" i="7"/>
  <c r="IE101" i="7"/>
  <c r="IE102" i="7"/>
  <c r="IE103" i="7"/>
  <c r="IE104" i="7"/>
  <c r="IE105" i="7"/>
  <c r="IE106" i="7"/>
  <c r="IE107" i="7"/>
  <c r="IH108" i="7"/>
  <c r="IC97" i="7"/>
  <c r="IC98" i="7"/>
  <c r="IC99" i="7"/>
  <c r="IC100" i="7"/>
  <c r="IC101" i="7"/>
  <c r="IC102" i="7"/>
  <c r="IC103" i="7"/>
  <c r="IC104" i="7"/>
  <c r="IC105" i="7"/>
  <c r="IC106" i="7"/>
  <c r="IC107" i="7"/>
  <c r="IF108" i="7"/>
  <c r="IE96" i="7"/>
  <c r="IC96" i="7"/>
  <c r="IY82" i="7"/>
  <c r="IY83" i="7"/>
  <c r="IY84" i="7"/>
  <c r="IY85" i="7"/>
  <c r="IY86" i="7"/>
  <c r="IY87" i="7"/>
  <c r="IY88" i="7"/>
  <c r="IY89" i="7"/>
  <c r="IY90" i="7"/>
  <c r="IY91" i="7"/>
  <c r="JA82" i="7"/>
  <c r="JA83" i="7"/>
  <c r="JA84" i="7"/>
  <c r="JA85" i="7"/>
  <c r="JA86" i="7"/>
  <c r="JA87" i="7"/>
  <c r="JA88" i="7"/>
  <c r="JA89" i="7"/>
  <c r="JA90" i="7"/>
  <c r="JA91" i="7"/>
  <c r="JA81" i="7"/>
  <c r="IY81" i="7"/>
  <c r="IC82" i="7"/>
  <c r="IC83" i="7"/>
  <c r="IC84" i="7"/>
  <c r="IC85" i="7"/>
  <c r="IC86" i="7"/>
  <c r="IC87" i="7"/>
  <c r="IC88" i="7"/>
  <c r="IC89" i="7"/>
  <c r="IC90" i="7"/>
  <c r="IC91" i="7"/>
  <c r="IA82" i="7"/>
  <c r="IA83" i="7"/>
  <c r="IA84" i="7"/>
  <c r="IA85" i="7"/>
  <c r="IA86" i="7"/>
  <c r="IA87" i="7"/>
  <c r="IA88" i="7"/>
  <c r="IA89" i="7"/>
  <c r="IA90" i="7"/>
  <c r="IA91" i="7"/>
  <c r="HY82" i="7"/>
  <c r="HY83" i="7"/>
  <c r="HY84" i="7"/>
  <c r="HY85" i="7"/>
  <c r="HY86" i="7"/>
  <c r="HY87" i="7"/>
  <c r="HY88" i="7"/>
  <c r="HY89" i="7"/>
  <c r="HY90" i="7"/>
  <c r="HY91" i="7"/>
  <c r="IC81" i="7"/>
  <c r="IA81" i="7"/>
  <c r="HY81" i="7"/>
  <c r="BZ3" i="14"/>
  <c r="HR3" i="7" l="1"/>
  <c r="HJ3" i="7"/>
  <c r="BB42" i="7" l="1"/>
  <c r="AX42" i="7"/>
  <c r="AT31" i="7"/>
  <c r="HF41" i="7" l="1"/>
  <c r="HB41" i="7"/>
  <c r="GX41" i="7"/>
  <c r="GT41" i="7"/>
  <c r="HF40" i="7"/>
  <c r="HB40" i="7"/>
  <c r="GX40" i="7"/>
  <c r="GT40" i="7"/>
  <c r="GP40" i="7"/>
  <c r="GL40" i="7"/>
  <c r="GH40" i="7"/>
  <c r="GD40" i="7"/>
  <c r="GD3" i="7"/>
  <c r="FS29" i="7" l="1"/>
  <c r="FS28" i="7"/>
  <c r="FS27" i="7"/>
  <c r="FS26" i="7"/>
  <c r="FS25" i="7"/>
  <c r="FW29" i="7"/>
  <c r="FW26" i="7"/>
  <c r="FW25" i="7"/>
  <c r="GA26" i="7"/>
  <c r="GA29" i="7"/>
  <c r="GA25" i="7"/>
  <c r="FN3" i="7"/>
  <c r="BM41" i="8" l="1"/>
  <c r="BO41" i="8"/>
  <c r="BM42" i="8"/>
  <c r="BO42" i="8"/>
  <c r="BN42" i="8" s="1"/>
  <c r="BM43" i="8"/>
  <c r="BN43" i="8" s="1"/>
  <c r="BO43" i="8"/>
  <c r="BM44" i="8"/>
  <c r="BN44" i="8" s="1"/>
  <c r="BO44" i="8"/>
  <c r="BM45" i="8"/>
  <c r="BN45" i="8" s="1"/>
  <c r="BO45" i="8"/>
  <c r="BM46" i="8"/>
  <c r="BO46" i="8"/>
  <c r="BM47" i="8"/>
  <c r="BO47" i="8"/>
  <c r="BN47" i="8" s="1"/>
  <c r="BM48" i="8"/>
  <c r="BO48" i="8"/>
  <c r="BM49" i="8"/>
  <c r="BN49" i="8"/>
  <c r="BO49" i="8"/>
  <c r="BM50" i="8"/>
  <c r="BO50" i="8"/>
  <c r="BN50" i="8" s="1"/>
  <c r="BM51" i="8"/>
  <c r="BN51" i="8" s="1"/>
  <c r="BO51" i="8"/>
  <c r="BM52" i="8"/>
  <c r="BO52" i="8"/>
  <c r="BM53" i="8"/>
  <c r="BN53" i="8" s="1"/>
  <c r="BO53" i="8"/>
  <c r="BM54" i="8"/>
  <c r="BN54" i="8" s="1"/>
  <c r="BO54" i="8"/>
  <c r="BM55" i="8"/>
  <c r="BO55" i="8"/>
  <c r="BM56" i="8"/>
  <c r="BN56" i="8" s="1"/>
  <c r="BO56" i="8"/>
  <c r="BM57" i="8"/>
  <c r="BO57" i="8"/>
  <c r="BN57" i="8" s="1"/>
  <c r="BG42" i="8"/>
  <c r="BG43" i="8"/>
  <c r="BG44" i="8"/>
  <c r="BG45" i="8"/>
  <c r="BG46" i="8"/>
  <c r="BG47" i="8"/>
  <c r="BG48" i="8"/>
  <c r="BF48" i="8" s="1"/>
  <c r="BG49" i="8"/>
  <c r="BF49" i="8" s="1"/>
  <c r="BG50" i="8"/>
  <c r="BG51" i="8"/>
  <c r="BG52" i="8"/>
  <c r="BG53" i="8"/>
  <c r="BF53" i="8" s="1"/>
  <c r="BG54" i="8"/>
  <c r="BG55" i="8"/>
  <c r="BG56" i="8"/>
  <c r="BF56" i="8" s="1"/>
  <c r="BG57" i="8"/>
  <c r="BF57" i="8" s="1"/>
  <c r="BG41" i="8"/>
  <c r="BE42" i="8"/>
  <c r="BE43" i="8"/>
  <c r="BE44" i="8"/>
  <c r="BE45" i="8"/>
  <c r="BE46" i="8"/>
  <c r="BE47" i="8"/>
  <c r="BE48" i="8"/>
  <c r="BE49" i="8"/>
  <c r="BE50" i="8"/>
  <c r="BE51" i="8"/>
  <c r="BE52" i="8"/>
  <c r="BE53" i="8"/>
  <c r="BE54" i="8"/>
  <c r="BE55" i="8"/>
  <c r="BE56" i="8"/>
  <c r="BE57" i="8"/>
  <c r="BE41" i="8"/>
  <c r="BF41" i="8" s="1"/>
  <c r="BF55" i="8" l="1"/>
  <c r="BF47" i="8"/>
  <c r="BF54" i="8"/>
  <c r="BF46" i="8"/>
  <c r="BN46" i="8"/>
  <c r="BF45" i="8"/>
  <c r="BF52" i="8"/>
  <c r="BF44" i="8"/>
  <c r="BN55" i="8"/>
  <c r="BN52" i="8"/>
  <c r="BF51" i="8"/>
  <c r="BF43" i="8"/>
  <c r="BF50" i="8"/>
  <c r="BF42" i="8"/>
  <c r="BN48" i="8"/>
  <c r="BN41" i="8"/>
  <c r="EP3" i="7"/>
  <c r="AZ5" i="8" l="1"/>
  <c r="EH3" i="7"/>
  <c r="BW26" i="7"/>
  <c r="BW30" i="7"/>
  <c r="BW29" i="7"/>
  <c r="BW25" i="7"/>
  <c r="BV3" i="14"/>
  <c r="BV3" i="7"/>
  <c r="Z3" i="14" l="1"/>
  <c r="DP29" i="7"/>
  <c r="ED39" i="7" l="1"/>
  <c r="EL78" i="7"/>
  <c r="EL79" i="7"/>
  <c r="EL80" i="7"/>
  <c r="EL81" i="7"/>
  <c r="EL82" i="7"/>
  <c r="EL83" i="7"/>
  <c r="EL84" i="7"/>
  <c r="EL85" i="7"/>
  <c r="EL86" i="7"/>
  <c r="EL87" i="7"/>
  <c r="EL88" i="7"/>
  <c r="EL77" i="7"/>
  <c r="ED3" i="7"/>
  <c r="DR3" i="7" l="1"/>
  <c r="DN29" i="7"/>
  <c r="DO29" i="7" s="1"/>
  <c r="DJ29" i="7"/>
  <c r="DK29" i="7" s="1"/>
  <c r="DB3" i="7"/>
  <c r="DN33" i="7" l="1"/>
  <c r="J55" i="16" l="1"/>
  <c r="J52" i="16"/>
  <c r="J53" i="16"/>
  <c r="J54" i="16"/>
  <c r="J51" i="16"/>
  <c r="I55" i="16"/>
  <c r="CL5" i="7" l="1"/>
  <c r="CL3" i="7"/>
  <c r="H33" i="15" l="1"/>
  <c r="E33" i="15"/>
  <c r="B33" i="15"/>
  <c r="G55" i="10"/>
  <c r="E66" i="10"/>
  <c r="E55" i="10"/>
  <c r="F3" i="10"/>
  <c r="O3" i="10"/>
  <c r="AB90" i="7" l="1"/>
  <c r="AB78" i="7"/>
  <c r="BZ3" i="7"/>
  <c r="BN3" i="7" l="1"/>
  <c r="BF3" i="7" l="1"/>
  <c r="G65" i="16"/>
  <c r="BB32" i="7" l="1"/>
  <c r="BC29" i="7"/>
  <c r="AY29" i="7"/>
  <c r="BC25" i="7"/>
  <c r="AY25" i="7"/>
  <c r="Z3" i="7" l="1"/>
  <c r="R3" i="7"/>
  <c r="AP3" i="7"/>
  <c r="AU29" i="7"/>
  <c r="AU25" i="7"/>
  <c r="AQ29" i="7"/>
  <c r="AQ25" i="7"/>
  <c r="D66" i="16" l="1"/>
  <c r="D65" i="16"/>
  <c r="D13" i="16"/>
  <c r="C29" i="7"/>
  <c r="AL32" i="7"/>
  <c r="AH32" i="7"/>
  <c r="AM29" i="7"/>
  <c r="AI29" i="7"/>
  <c r="AE29" i="7"/>
  <c r="AA29" i="7"/>
  <c r="AM25" i="7"/>
  <c r="AI25" i="7"/>
  <c r="AE25" i="7"/>
  <c r="AA25" i="7"/>
  <c r="E43" i="10" l="1"/>
  <c r="E23" i="10"/>
  <c r="B3" i="11" l="1"/>
</calcChain>
</file>

<file path=xl/comments1.xml><?xml version="1.0" encoding="utf-8"?>
<comments xmlns="http://schemas.openxmlformats.org/spreadsheetml/2006/main">
  <authors>
    <author>Author</author>
  </authors>
  <commentList>
    <comment ref="C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yellow highlighted are open access publications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AB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Solid part of all beads</t>
        </r>
      </text>
    </comment>
    <comment ref="AA6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Drug load of 400g beads</t>
        </r>
      </text>
    </comment>
  </commentList>
</comments>
</file>

<file path=xl/sharedStrings.xml><?xml version="1.0" encoding="utf-8"?>
<sst xmlns="http://schemas.openxmlformats.org/spreadsheetml/2006/main" count="3214" uniqueCount="878">
  <si>
    <t>Species</t>
  </si>
  <si>
    <t>Study n°</t>
  </si>
  <si>
    <t>Dose</t>
  </si>
  <si>
    <t>Drug</t>
  </si>
  <si>
    <t>DF</t>
  </si>
  <si>
    <t>Adm</t>
  </si>
  <si>
    <t>Release</t>
  </si>
  <si>
    <t>x</t>
  </si>
  <si>
    <t>Individual Cp/time data</t>
  </si>
  <si>
    <t>Pre-treatment</t>
  </si>
  <si>
    <t>Gender</t>
  </si>
  <si>
    <t>Study</t>
  </si>
  <si>
    <t>Day</t>
  </si>
  <si>
    <t>Subj #</t>
  </si>
  <si>
    <t>Admin.</t>
  </si>
  <si>
    <t>Mean Cp/time data</t>
  </si>
  <si>
    <t>DS salt/ polymorph</t>
  </si>
  <si>
    <t>Mean</t>
  </si>
  <si>
    <t>Compound</t>
  </si>
  <si>
    <t>Physiology</t>
  </si>
  <si>
    <t>G+ results</t>
  </si>
  <si>
    <t>Pharmaco-kinetics</t>
  </si>
  <si>
    <t xml:space="preserve"> Cp Mean</t>
  </si>
  <si>
    <t xml:space="preserve">Cp Individual </t>
  </si>
  <si>
    <t xml:space="preserve">Name </t>
  </si>
  <si>
    <t>Food</t>
  </si>
  <si>
    <t>Route Admin.</t>
  </si>
  <si>
    <t>Water mL</t>
  </si>
  <si>
    <t xml:space="preserve">CAS registry number: </t>
  </si>
  <si>
    <t xml:space="preserve">Molecular formula: </t>
  </si>
  <si>
    <t xml:space="preserve">Molecular weight: </t>
  </si>
  <si>
    <t>Mean PK</t>
  </si>
  <si>
    <t>Dissolution</t>
  </si>
  <si>
    <t>Path :</t>
  </si>
  <si>
    <t>Tmax (h)</t>
  </si>
  <si>
    <t>Doc 1</t>
  </si>
  <si>
    <t>Ref logD</t>
  </si>
  <si>
    <t>at pH</t>
  </si>
  <si>
    <t>pKa table</t>
  </si>
  <si>
    <t>Acid/Base</t>
  </si>
  <si>
    <t>pKa</t>
  </si>
  <si>
    <t>Sol factor</t>
  </si>
  <si>
    <t>Enzyme table</t>
  </si>
  <si>
    <t xml:space="preserve">Enzyme </t>
  </si>
  <si>
    <t>Location</t>
  </si>
  <si>
    <t>Data source</t>
  </si>
  <si>
    <t>Vmax</t>
  </si>
  <si>
    <t>Km</t>
  </si>
  <si>
    <t>Transporter table</t>
  </si>
  <si>
    <t>Transporter</t>
  </si>
  <si>
    <t>Type</t>
  </si>
  <si>
    <t>Effective permeability</t>
  </si>
  <si>
    <t>Source</t>
  </si>
  <si>
    <t>Dosage form</t>
  </si>
  <si>
    <t>pH for ref solubility</t>
  </si>
  <si>
    <t>Drug particle density (g/mL)</t>
  </si>
  <si>
    <t>Initial dose (mg)</t>
  </si>
  <si>
    <t>Subsequent doses (mg)</t>
  </si>
  <si>
    <t>Dosing interval (h)</t>
  </si>
  <si>
    <t>Solubility (mg/mL)</t>
  </si>
  <si>
    <t>Mean precipitation (sec)</t>
  </si>
  <si>
    <t>Particle size (μm)</t>
  </si>
  <si>
    <t>API</t>
  </si>
  <si>
    <t>ASF model</t>
  </si>
  <si>
    <t>PK</t>
  </si>
  <si>
    <t>PK model</t>
  </si>
  <si>
    <t>Body weight (kg)</t>
  </si>
  <si>
    <t>FPE%</t>
  </si>
  <si>
    <t>Oral</t>
  </si>
  <si>
    <t>Intestinal</t>
  </si>
  <si>
    <t>Liver</t>
  </si>
  <si>
    <t>B/P conc ratio</t>
  </si>
  <si>
    <t>Renal clearance (L/h/kg)</t>
  </si>
  <si>
    <t>CL (L/h)</t>
  </si>
  <si>
    <t>Vc (L/kg)</t>
  </si>
  <si>
    <t>T1/2 (h)</t>
  </si>
  <si>
    <t>K12 (1/h)</t>
  </si>
  <si>
    <t>K13 (1/h)</t>
  </si>
  <si>
    <t>K31 (1/h)</t>
  </si>
  <si>
    <t>K21 (1/h)</t>
  </si>
  <si>
    <t>V2 (L/kg)</t>
  </si>
  <si>
    <t>V3 (L/kg)</t>
  </si>
  <si>
    <t>Observed values</t>
  </si>
  <si>
    <t>Fa%</t>
  </si>
  <si>
    <t>FDp%</t>
  </si>
  <si>
    <t>F%</t>
  </si>
  <si>
    <t>Cmax (μg/mL)</t>
  </si>
  <si>
    <t>AUC (ng-h/mL)</t>
  </si>
  <si>
    <t>Time (h)</t>
  </si>
  <si>
    <t>% dissol.</t>
  </si>
  <si>
    <t>Documents</t>
  </si>
  <si>
    <t>CV (%)</t>
  </si>
  <si>
    <t>Papp Caco-2 (cm/s*10^-5)</t>
  </si>
  <si>
    <t>Sim Peff*10^-4 (human)</t>
  </si>
  <si>
    <t>Admin. route</t>
  </si>
  <si>
    <t>Biorelevant solubilities</t>
  </si>
  <si>
    <t>pH</t>
  </si>
  <si>
    <t>Bile Salt Conc (mM)</t>
  </si>
  <si>
    <t>SGF</t>
  </si>
  <si>
    <t>FaSSIF</t>
  </si>
  <si>
    <t>FeSSIF</t>
  </si>
  <si>
    <t>Other informations/Notes</t>
  </si>
  <si>
    <t>Use Ex Plasma Fup (%)</t>
  </si>
  <si>
    <t>Use Adj Plasma Fup (%)</t>
  </si>
  <si>
    <t>or CL (L/h/kg)</t>
  </si>
  <si>
    <t>Hepatic clearance (L/h)</t>
  </si>
  <si>
    <t>Enzymes</t>
  </si>
  <si>
    <t>Gut</t>
  </si>
  <si>
    <t>Gut transporters</t>
  </si>
  <si>
    <t>Apical</t>
  </si>
  <si>
    <t>Basolateral</t>
  </si>
  <si>
    <t>Influx Vmax SF</t>
  </si>
  <si>
    <t>Influx Km SF</t>
  </si>
  <si>
    <t>Efflux Vmax SF</t>
  </si>
  <si>
    <t>Efflux Km SF</t>
  </si>
  <si>
    <t>Time (min)</t>
  </si>
  <si>
    <t>Particle size  radius (μm)</t>
  </si>
  <si>
    <t>Doc 2</t>
  </si>
  <si>
    <t>Doc 3</t>
  </si>
  <si>
    <t>Doc 4</t>
  </si>
  <si>
    <t>Doc 5</t>
  </si>
  <si>
    <t>Cp (ng/mL)</t>
  </si>
  <si>
    <t>Doc1</t>
  </si>
  <si>
    <t>Data ref.</t>
  </si>
  <si>
    <t>Tm (°C)</t>
  </si>
  <si>
    <t>Paste here the screen shot from G+</t>
  </si>
  <si>
    <t>Batch no.</t>
  </si>
  <si>
    <t>Diff. coeff (cm^2/10^5)</t>
  </si>
  <si>
    <t>Drug substance</t>
  </si>
  <si>
    <t xml:space="preserve"> Solubility</t>
  </si>
  <si>
    <t>Medium</t>
  </si>
  <si>
    <t>Sol. (mg/mL)</t>
  </si>
  <si>
    <t xml:space="preserve">Particle size distribution </t>
  </si>
  <si>
    <t>%</t>
  </si>
  <si>
    <t>Radius (μm)</t>
  </si>
  <si>
    <t>Schedule (qd, bid, tid)</t>
  </si>
  <si>
    <t>Drug substance polymorph</t>
  </si>
  <si>
    <t>Peff Monkey (cm/s*10^-4)</t>
  </si>
  <si>
    <t>Peff Rat (cm/s*10^-4)</t>
  </si>
  <si>
    <t>Peff Dog (cm/s*10^-4)</t>
  </si>
  <si>
    <t>Peff Human (cm/s*10^-4)</t>
  </si>
  <si>
    <t xml:space="preserve">Notes/G+ screen </t>
  </si>
  <si>
    <t>mg</t>
  </si>
  <si>
    <t>Salt</t>
  </si>
  <si>
    <t>Solvate/Hydrate</t>
  </si>
  <si>
    <t>Polymorph</t>
  </si>
  <si>
    <t>CV%</t>
  </si>
  <si>
    <t>log Peff</t>
  </si>
  <si>
    <t>Hydrochlorothiazide</t>
  </si>
  <si>
    <t>Metoprolol</t>
  </si>
  <si>
    <t>Ref.</t>
  </si>
  <si>
    <t>DF batch no</t>
  </si>
  <si>
    <t>Apparatus</t>
  </si>
  <si>
    <t>Rotation speed rpm</t>
  </si>
  <si>
    <t>Medium vol ml</t>
  </si>
  <si>
    <t>G+ Results:</t>
  </si>
  <si>
    <t>ZOOM=80%!!!!</t>
  </si>
  <si>
    <t>Simulation21</t>
  </si>
  <si>
    <t>Simulation31</t>
  </si>
  <si>
    <t>Simulation41</t>
  </si>
  <si>
    <t>Simulation51</t>
  </si>
  <si>
    <t>Simulation61</t>
  </si>
  <si>
    <t>Simulation71</t>
  </si>
  <si>
    <t>Simulation81</t>
  </si>
  <si>
    <t>Simulation91</t>
  </si>
  <si>
    <t>Simulation22</t>
  </si>
  <si>
    <t>Simulation32</t>
  </si>
  <si>
    <t>Simulation42</t>
  </si>
  <si>
    <t>Simulation52</t>
  </si>
  <si>
    <t>Simulation62</t>
  </si>
  <si>
    <t>Simulation72</t>
  </si>
  <si>
    <t>Simulation82</t>
  </si>
  <si>
    <t>Simulation92</t>
  </si>
  <si>
    <t>Simulation23</t>
  </si>
  <si>
    <t>Simulation33</t>
  </si>
  <si>
    <t>Simulation43</t>
  </si>
  <si>
    <t>Simulation53</t>
  </si>
  <si>
    <t>Simulation63</t>
  </si>
  <si>
    <t>Simulation73</t>
  </si>
  <si>
    <t>Simulation83</t>
  </si>
  <si>
    <t>Simulation93</t>
  </si>
  <si>
    <t>Simulation4</t>
  </si>
  <si>
    <t>Simulation24</t>
  </si>
  <si>
    <t>Simulation34</t>
  </si>
  <si>
    <t>Simulation44</t>
  </si>
  <si>
    <t>Simulation54</t>
  </si>
  <si>
    <t>Simulation64</t>
  </si>
  <si>
    <t>Simulation74</t>
  </si>
  <si>
    <t>Simulation84</t>
  </si>
  <si>
    <t>Simulation94</t>
  </si>
  <si>
    <t>Simulation15</t>
  </si>
  <si>
    <t>Simulation25</t>
  </si>
  <si>
    <t>Simulation35</t>
  </si>
  <si>
    <t>Simulation45</t>
  </si>
  <si>
    <t>Simulation55</t>
  </si>
  <si>
    <t>Simulation65</t>
  </si>
  <si>
    <t>Simulation75</t>
  </si>
  <si>
    <t>Simulation85</t>
  </si>
  <si>
    <t>Simulation95</t>
  </si>
  <si>
    <t>Simulation6</t>
  </si>
  <si>
    <t>Simulation16</t>
  </si>
  <si>
    <t>Simulation26</t>
  </si>
  <si>
    <t>Simulation36</t>
  </si>
  <si>
    <t>Simulation46</t>
  </si>
  <si>
    <t>Simulation56</t>
  </si>
  <si>
    <t>Simulation66</t>
  </si>
  <si>
    <t>Simulation76</t>
  </si>
  <si>
    <t>Simulation86</t>
  </si>
  <si>
    <t>Simulation96</t>
  </si>
  <si>
    <t>Simulation17</t>
  </si>
  <si>
    <t>Simulation27</t>
  </si>
  <si>
    <t>Simulation37</t>
  </si>
  <si>
    <t>Simulation47</t>
  </si>
  <si>
    <t>Simulation57</t>
  </si>
  <si>
    <t>Simulation67</t>
  </si>
  <si>
    <t>Simulation77</t>
  </si>
  <si>
    <t>Simulation87</t>
  </si>
  <si>
    <t>Simulation97</t>
  </si>
  <si>
    <t>Simulation18</t>
  </si>
  <si>
    <t>Simulation28</t>
  </si>
  <si>
    <t>Simulation38</t>
  </si>
  <si>
    <t>Simulation48</t>
  </si>
  <si>
    <t>Simulation58</t>
  </si>
  <si>
    <t>Simulation68</t>
  </si>
  <si>
    <t>Simulation78</t>
  </si>
  <si>
    <t>Simulation88</t>
  </si>
  <si>
    <t>Simulation98</t>
  </si>
  <si>
    <t>Simulation9</t>
  </si>
  <si>
    <t>Simulation19</t>
  </si>
  <si>
    <t>Simulation29</t>
  </si>
  <si>
    <t>Simulation39</t>
  </si>
  <si>
    <t>Simulation49</t>
  </si>
  <si>
    <t>Simulation59</t>
  </si>
  <si>
    <t>Simulation69</t>
  </si>
  <si>
    <t>Simulation79</t>
  </si>
  <si>
    <t>Simulation89</t>
  </si>
  <si>
    <t>Simulation99</t>
  </si>
  <si>
    <t>Simulation20</t>
  </si>
  <si>
    <t>Simulation30</t>
  </si>
  <si>
    <t>Simulation40</t>
  </si>
  <si>
    <t>Simulation50</t>
  </si>
  <si>
    <t>Simulation60</t>
  </si>
  <si>
    <t>Simulation70</t>
  </si>
  <si>
    <t>Simulation80</t>
  </si>
  <si>
    <t>Simulation90</t>
  </si>
  <si>
    <t>Simulation100</t>
  </si>
  <si>
    <t>Sim1</t>
  </si>
  <si>
    <t>Sim3</t>
  </si>
  <si>
    <t>Sim4</t>
  </si>
  <si>
    <t>Sim5</t>
  </si>
  <si>
    <t>Sim6</t>
  </si>
  <si>
    <t>Sim7</t>
  </si>
  <si>
    <t>Sim9</t>
  </si>
  <si>
    <t>Sim10</t>
  </si>
  <si>
    <t>Sim11</t>
  </si>
  <si>
    <t>Sim12</t>
  </si>
  <si>
    <t>Sim13</t>
  </si>
  <si>
    <t>Sim14</t>
  </si>
  <si>
    <t>Sim15</t>
  </si>
  <si>
    <t>Sim16</t>
  </si>
  <si>
    <t>Sim17</t>
  </si>
  <si>
    <t>Sim18</t>
  </si>
  <si>
    <t>sim19</t>
  </si>
  <si>
    <t>Sim20</t>
  </si>
  <si>
    <t>Sim21</t>
  </si>
  <si>
    <t>sim22</t>
  </si>
  <si>
    <t>Sim23</t>
  </si>
  <si>
    <t>Sim24</t>
  </si>
  <si>
    <t>Sim25</t>
  </si>
  <si>
    <t>AUC (ng*h/ml)</t>
  </si>
  <si>
    <t>T 1/2 (h)</t>
  </si>
  <si>
    <t>abs. BAV %</t>
  </si>
  <si>
    <t>SIM8</t>
  </si>
  <si>
    <t>SIM26</t>
  </si>
  <si>
    <t>SIM_027</t>
  </si>
  <si>
    <t>SIM_028</t>
  </si>
  <si>
    <t>SIM_029</t>
  </si>
  <si>
    <t>SIM_030</t>
  </si>
  <si>
    <t>SIM_031</t>
  </si>
  <si>
    <t>SIM_032</t>
  </si>
  <si>
    <t>SIM_033</t>
  </si>
  <si>
    <t>SIM_034</t>
  </si>
  <si>
    <t>SIM_035</t>
  </si>
  <si>
    <t>SIM_036</t>
  </si>
  <si>
    <t>SIM_037</t>
  </si>
  <si>
    <t>SIM_038</t>
  </si>
  <si>
    <t>SIM_039</t>
  </si>
  <si>
    <t>SIM_040</t>
  </si>
  <si>
    <t>SIM_041</t>
  </si>
  <si>
    <t>SIM_042</t>
  </si>
  <si>
    <t>SIM_043</t>
  </si>
  <si>
    <t>SIM_044</t>
  </si>
  <si>
    <t>SIM_045</t>
  </si>
  <si>
    <t>SIM_046</t>
  </si>
  <si>
    <t>SIM_047</t>
  </si>
  <si>
    <t>SIM_048</t>
  </si>
  <si>
    <t>SIM_049</t>
  </si>
  <si>
    <t>SIM_050</t>
  </si>
  <si>
    <t>SIM_051</t>
  </si>
  <si>
    <t>SIM_052</t>
  </si>
  <si>
    <t>SIM_053</t>
  </si>
  <si>
    <t>SIM_054</t>
  </si>
  <si>
    <t>SIM_055</t>
  </si>
  <si>
    <t>SIM_056</t>
  </si>
  <si>
    <t>SIM_057</t>
  </si>
  <si>
    <t>SIM_058</t>
  </si>
  <si>
    <t>SIM_059</t>
  </si>
  <si>
    <t>SIM_060</t>
  </si>
  <si>
    <t>SIM_061</t>
  </si>
  <si>
    <t>SIM_062</t>
  </si>
  <si>
    <t>SIM_063</t>
  </si>
  <si>
    <t>SIM_064</t>
  </si>
  <si>
    <t>SIM_065</t>
  </si>
  <si>
    <t>SIM_066</t>
  </si>
  <si>
    <t>SIM_067</t>
  </si>
  <si>
    <t>SIM_068</t>
  </si>
  <si>
    <t>SIM_069</t>
  </si>
  <si>
    <t>SIM_070</t>
  </si>
  <si>
    <t>SIM_071</t>
  </si>
  <si>
    <t>SIM_072</t>
  </si>
  <si>
    <t>SIM_073</t>
  </si>
  <si>
    <t>SIM_074</t>
  </si>
  <si>
    <t>SIM_075</t>
  </si>
  <si>
    <t>SIM_076</t>
  </si>
  <si>
    <t>SIM_077</t>
  </si>
  <si>
    <t>SIM_078</t>
  </si>
  <si>
    <t>SIM_079</t>
  </si>
  <si>
    <t>SIM_080</t>
  </si>
  <si>
    <t>SIM_081</t>
  </si>
  <si>
    <t>fed</t>
  </si>
  <si>
    <t>Sim8</t>
  </si>
  <si>
    <t>sim13</t>
  </si>
  <si>
    <t>Sim01</t>
  </si>
  <si>
    <t>Sim02</t>
  </si>
  <si>
    <t>Sim03</t>
  </si>
  <si>
    <t>po</t>
  </si>
  <si>
    <t>metoprolol</t>
  </si>
  <si>
    <t>IR</t>
  </si>
  <si>
    <t>Human</t>
  </si>
  <si>
    <t xml:space="preserve">po </t>
  </si>
  <si>
    <t>tablet</t>
  </si>
  <si>
    <t>tartrate</t>
  </si>
  <si>
    <t>X</t>
  </si>
  <si>
    <t>37350-58-6</t>
  </si>
  <si>
    <t>(C15H25NO3)2,C4H6O6</t>
  </si>
  <si>
    <t>free base</t>
  </si>
  <si>
    <t>56392-17-7</t>
  </si>
  <si>
    <t>Base</t>
  </si>
  <si>
    <t xml:space="preserve"> 100-400</t>
  </si>
  <si>
    <t>Typical daily dose human mg</t>
  </si>
  <si>
    <t>BAV %</t>
  </si>
  <si>
    <t xml:space="preserve"> 40-50</t>
  </si>
  <si>
    <t>human</t>
  </si>
  <si>
    <t>Dose mg</t>
  </si>
  <si>
    <t>oral</t>
  </si>
  <si>
    <t xml:space="preserve"> 2-3</t>
  </si>
  <si>
    <t xml:space="preserve"> 3-4</t>
  </si>
  <si>
    <t xml:space="preserve">food effect % AUC </t>
  </si>
  <si>
    <t>+50</t>
  </si>
  <si>
    <t>Kim2006</t>
  </si>
  <si>
    <t>Chuasuwan2009</t>
  </si>
  <si>
    <t>A-&gt;B</t>
  </si>
  <si>
    <t>B-&gt;A</t>
  </si>
  <si>
    <t>water 25°C</t>
  </si>
  <si>
    <t>MR</t>
  </si>
  <si>
    <t>A</t>
  </si>
  <si>
    <t>D</t>
  </si>
  <si>
    <t>fasted</t>
  </si>
  <si>
    <t>IntelliCap</t>
  </si>
  <si>
    <t>MR 6h</t>
  </si>
  <si>
    <t>solution</t>
  </si>
  <si>
    <t>SD</t>
  </si>
  <si>
    <t>B</t>
  </si>
  <si>
    <t>C</t>
  </si>
  <si>
    <t>oral solution 1mg/ml</t>
  </si>
  <si>
    <t>qd</t>
  </si>
  <si>
    <t>233mg/ml</t>
  </si>
  <si>
    <t>13-002444AZ</t>
  </si>
  <si>
    <t>13-002442AZ</t>
  </si>
  <si>
    <t>1mg/ml</t>
  </si>
  <si>
    <t>drink 50ml</t>
  </si>
  <si>
    <t>nmol/L</t>
  </si>
  <si>
    <t>2*25</t>
  </si>
  <si>
    <t>2*25 C</t>
  </si>
  <si>
    <t>0,5 * tartrate</t>
  </si>
  <si>
    <t>CV %</t>
  </si>
  <si>
    <t>Godbillon1985</t>
  </si>
  <si>
    <t>19/190</t>
  </si>
  <si>
    <t>OROS</t>
  </si>
  <si>
    <t>19/285</t>
  </si>
  <si>
    <t>N=</t>
  </si>
  <si>
    <t>Kendall1982</t>
  </si>
  <si>
    <t>Lopresor OROS</t>
  </si>
  <si>
    <t>fumarate</t>
  </si>
  <si>
    <t>Slow Lopresor</t>
  </si>
  <si>
    <t>Accumulation fold</t>
  </si>
  <si>
    <t>ng/ml</t>
  </si>
  <si>
    <t>MR 14h</t>
  </si>
  <si>
    <t>MR 1+6h</t>
  </si>
  <si>
    <t>Cmax 1 (ug/mL)</t>
  </si>
  <si>
    <t>Tmax 1 (h)</t>
  </si>
  <si>
    <t>Cmax 2 (ug/mL)</t>
  </si>
  <si>
    <t>Tmax 2 (h)</t>
  </si>
  <si>
    <t>rel BAV %</t>
  </si>
  <si>
    <t xml:space="preserve"> 40-55</t>
  </si>
  <si>
    <t>Km SF 2D6 uMol</t>
  </si>
  <si>
    <t>Vmax SF 2D6 (pmol/min/mg micros prot)</t>
  </si>
  <si>
    <t>2-3 % of liver</t>
  </si>
  <si>
    <t>Regardh1974</t>
  </si>
  <si>
    <t>iv</t>
  </si>
  <si>
    <t>0.5 * tartrate</t>
  </si>
  <si>
    <t>solution (weakly acidic)</t>
  </si>
  <si>
    <t>oral solution</t>
  </si>
  <si>
    <t>OROS Lopresor</t>
  </si>
  <si>
    <t>Y</t>
  </si>
  <si>
    <t>time h</t>
  </si>
  <si>
    <t xml:space="preserve"> bolus 10 min inj.</t>
  </si>
  <si>
    <t>solution (weakly acidic) meabolites</t>
  </si>
  <si>
    <t>0.5 * tartrate  3H</t>
  </si>
  <si>
    <t>Fig3 graph2#</t>
  </si>
  <si>
    <t>3H metabolites</t>
  </si>
  <si>
    <t>body weight  mean kg</t>
  </si>
  <si>
    <t>Fig4 graph2#</t>
  </si>
  <si>
    <t>Domenech1985</t>
  </si>
  <si>
    <t>Rat</t>
  </si>
  <si>
    <t>2D6 polymorphism</t>
  </si>
  <si>
    <t>Metabolites CYP2D6</t>
  </si>
  <si>
    <t xml:space="preserve"> ~80% extensive metabolizers</t>
  </si>
  <si>
    <t>Regardh1980</t>
  </si>
  <si>
    <t>5, 6, 12</t>
  </si>
  <si>
    <t xml:space="preserve">IR </t>
  </si>
  <si>
    <t>0, 1.5, 3 h</t>
  </si>
  <si>
    <t>5;6;12</t>
  </si>
  <si>
    <t>bolus 0;1.5;3h</t>
  </si>
  <si>
    <t xml:space="preserve"> bolus 5 min inj. (2mg/min)</t>
  </si>
  <si>
    <t>Fig1 graph2#</t>
  </si>
  <si>
    <t>Regardh1975</t>
  </si>
  <si>
    <t>Nyberg2007</t>
  </si>
  <si>
    <t>solution intubation jejunum</t>
  </si>
  <si>
    <t>solution intubation illeum</t>
  </si>
  <si>
    <t>solution intubation colon</t>
  </si>
  <si>
    <t>CGP2175</t>
  </si>
  <si>
    <t>IntelliCap sol 6h post stomach</t>
  </si>
  <si>
    <t>IntelliCap sol 14h post stomach</t>
  </si>
  <si>
    <t>IntelliCap sol 1&amp; 6h post stomach</t>
  </si>
  <si>
    <t>IntelliCap post stomach</t>
  </si>
  <si>
    <t>Ind. PK</t>
  </si>
  <si>
    <t>Cmax (ng/mL)</t>
  </si>
  <si>
    <t>Al-Saidan2004</t>
  </si>
  <si>
    <t>Tablet</t>
  </si>
  <si>
    <t>inbuabtion jejunum</t>
  </si>
  <si>
    <t>Solution</t>
  </si>
  <si>
    <t>inbuabtion illeum</t>
  </si>
  <si>
    <t>inbuabtion colon</t>
  </si>
  <si>
    <t>AUC rangking</t>
  </si>
  <si>
    <t>IntelliCap post stomach +1h</t>
  </si>
  <si>
    <t>J.W. McFarland et al. (2001), J. Chem. Inf. Computer Sci., 41(5): 1355-9,</t>
  </si>
  <si>
    <t>McFarland 2001</t>
  </si>
  <si>
    <t>Metabolites</t>
  </si>
  <si>
    <t>O-desmethyl metoprolol</t>
  </si>
  <si>
    <t>no conjugates formed! Quaterman1981</t>
  </si>
  <si>
    <t>CYP2D6</t>
  </si>
  <si>
    <t>CYP2C19</t>
  </si>
  <si>
    <t>influx</t>
  </si>
  <si>
    <t>solution density g/ml</t>
  </si>
  <si>
    <t>50ml solution 233mg/ml 298mg/ml tartrate</t>
  </si>
  <si>
    <t>oral solution 1mg/ml 1,28mg/ml tartrate</t>
  </si>
  <si>
    <t>mean released mg</t>
  </si>
  <si>
    <t>mean released dose mg</t>
  </si>
  <si>
    <t>MR 1h&amp;6h</t>
  </si>
  <si>
    <t>50ml solution</t>
  </si>
  <si>
    <t xml:space="preserve">release trigger after stomach leaf A+B C </t>
  </si>
  <si>
    <t xml:space="preserve">release trigger after stomach leaf A+B </t>
  </si>
  <si>
    <t>release trigger after stomach leaf +1h and +6h (2. pulse)</t>
  </si>
  <si>
    <t>Dose  conc. =base!</t>
  </si>
  <si>
    <t>Dose released mg</t>
  </si>
  <si>
    <t>N/A</t>
  </si>
  <si>
    <t>Dose released mean µl</t>
  </si>
  <si>
    <t>Tmax2 (h)</t>
  </si>
  <si>
    <t>Cmax 2 ng/ml</t>
  </si>
  <si>
    <t>Eddinton1998</t>
  </si>
  <si>
    <t>Paddle</t>
  </si>
  <si>
    <t>Assay</t>
  </si>
  <si>
    <t>Tablet SR fast</t>
  </si>
  <si>
    <t>Tablet SR medium</t>
  </si>
  <si>
    <t>Tablet SR slow</t>
  </si>
  <si>
    <t xml:space="preserve">tablet </t>
  </si>
  <si>
    <t>MR fast</t>
  </si>
  <si>
    <t>h</t>
  </si>
  <si>
    <t>Eddingtion1998</t>
  </si>
  <si>
    <t>Solution 50ml</t>
  </si>
  <si>
    <t>MR medium</t>
  </si>
  <si>
    <t>MR slow</t>
  </si>
  <si>
    <t>graph2#Fig2</t>
  </si>
  <si>
    <t>fast metabolizer</t>
  </si>
  <si>
    <t>UM</t>
  </si>
  <si>
    <t>EM</t>
  </si>
  <si>
    <t>IM</t>
  </si>
  <si>
    <t>PM</t>
  </si>
  <si>
    <t>Cmax/AUC ratio</t>
  </si>
  <si>
    <t>11 PM</t>
  </si>
  <si>
    <t>10 PM</t>
  </si>
  <si>
    <t>9 EM</t>
  </si>
  <si>
    <t>1 EM</t>
  </si>
  <si>
    <t>Metoprolol iv 10mg</t>
  </si>
  <si>
    <t>5*10mg calcul</t>
  </si>
  <si>
    <t>Lennernäs2007</t>
  </si>
  <si>
    <t>Peff Rat (cm/s*10^-4) jejunum</t>
  </si>
  <si>
    <t>Peff Rat (cm/s*10^-4) ileum</t>
  </si>
  <si>
    <t>Peff Rat (cm/s*10^-4) colon</t>
  </si>
  <si>
    <t>0,33 +/-0,2</t>
  </si>
  <si>
    <t>0,53 +/- 0,22</t>
  </si>
  <si>
    <t>0,09 +/-0,15</t>
  </si>
  <si>
    <t>Peff</t>
  </si>
  <si>
    <t>everted sac</t>
  </si>
  <si>
    <t>solution perfused</t>
  </si>
  <si>
    <t>Masoka2006</t>
  </si>
  <si>
    <t>1,52 +/-0,2</t>
  </si>
  <si>
    <t>1,60 +/-0,41</t>
  </si>
  <si>
    <t>1,0 +/-0,38</t>
  </si>
  <si>
    <t>Grainger1985</t>
  </si>
  <si>
    <t>graph2#Fig1</t>
  </si>
  <si>
    <t>bid</t>
  </si>
  <si>
    <t>MR zero order</t>
  </si>
  <si>
    <t>Masaoka2006</t>
  </si>
  <si>
    <t>rat</t>
  </si>
  <si>
    <t>everted sax</t>
  </si>
  <si>
    <t>perfusion jejujum</t>
  </si>
  <si>
    <t>perfusion illeum</t>
  </si>
  <si>
    <t>perfusion colon</t>
  </si>
  <si>
    <t>Dog</t>
  </si>
  <si>
    <t>Kerkhof2014</t>
  </si>
  <si>
    <t>IntelliCap FR</t>
  </si>
  <si>
    <t>dog</t>
  </si>
  <si>
    <t>Pentagrastrin 6ug/kg 0,5h before</t>
  </si>
  <si>
    <t>Ksp</t>
  </si>
  <si>
    <t>yes</t>
  </si>
  <si>
    <t>OCT2 (SLC22)</t>
  </si>
  <si>
    <t>Dudley2000</t>
  </si>
  <si>
    <t>PubCHEm</t>
  </si>
  <si>
    <t>Metoprolol-acid   (4-(2-hydroxy-3-isopropylaminopropoxy)-phenyacetic acid) (ACMB) H117/04</t>
  </si>
  <si>
    <t>alpha-hydroxy metoprolol (AHM) H119/66</t>
  </si>
  <si>
    <r>
      <t>IntelliCap</t>
    </r>
    <r>
      <rPr>
        <b/>
        <sz val="11"/>
        <rFont val="Arial"/>
        <family val="2"/>
      </rPr>
      <t xml:space="preserve"> </t>
    </r>
    <r>
      <rPr>
        <b/>
        <sz val="11"/>
        <color rgb="FFFF0000"/>
        <rFont val="Arial"/>
        <family val="2"/>
      </rPr>
      <t>FR</t>
    </r>
    <r>
      <rPr>
        <b/>
        <sz val="11"/>
        <rFont val="Arial"/>
        <family val="2"/>
      </rPr>
      <t xml:space="preserve"> </t>
    </r>
    <r>
      <rPr>
        <sz val="11"/>
        <rFont val="Arial"/>
        <family val="2"/>
      </rPr>
      <t>burst colon entry</t>
    </r>
  </si>
  <si>
    <t>metoprolol tartrate</t>
  </si>
  <si>
    <t>metoprolol fumarate</t>
  </si>
  <si>
    <t>Time</t>
  </si>
  <si>
    <t>Cp ng/ml</t>
  </si>
  <si>
    <t>fast metabilizer study!!</t>
  </si>
  <si>
    <t>Fig1a#</t>
  </si>
  <si>
    <t>pH 1.2 HCl</t>
  </si>
  <si>
    <t>Fig1b#</t>
  </si>
  <si>
    <t>Fig1c#</t>
  </si>
  <si>
    <t>Fig1d#</t>
  </si>
  <si>
    <t>Basket</t>
  </si>
  <si>
    <t>pH 6.8 Phosphate</t>
  </si>
  <si>
    <t>compound</t>
  </si>
  <si>
    <r>
      <rPr>
        <b/>
        <i/>
        <sz val="11"/>
        <color theme="1"/>
        <rFont val="Arial"/>
        <family val="2"/>
      </rPr>
      <t>graph2#</t>
    </r>
    <r>
      <rPr>
        <sz val="11"/>
        <color theme="1"/>
        <rFont val="Arial"/>
        <family val="2"/>
      </rPr>
      <t>Fig2</t>
    </r>
  </si>
  <si>
    <t>Medium 2</t>
  </si>
  <si>
    <t>Time duration h</t>
  </si>
  <si>
    <t>pH7.4 PO4</t>
  </si>
  <si>
    <t>HPLC</t>
  </si>
  <si>
    <t>200µM in 1ml</t>
  </si>
  <si>
    <t>tartrate??</t>
  </si>
  <si>
    <t>Borg1975</t>
  </si>
  <si>
    <t>Albin1993</t>
  </si>
  <si>
    <t>Lopressor divitab</t>
  </si>
  <si>
    <t>Caps pure DS</t>
  </si>
  <si>
    <t>dog (monogrel)</t>
  </si>
  <si>
    <t>Body weight kg</t>
  </si>
  <si>
    <t>grap2#Fig4</t>
  </si>
  <si>
    <t>2,0 mg/kg</t>
  </si>
  <si>
    <t>0,5mg/kg</t>
  </si>
  <si>
    <t>10,0mg/kg</t>
  </si>
  <si>
    <t>3H solution/solution</t>
  </si>
  <si>
    <t>2,0mg/kg</t>
  </si>
  <si>
    <t>3H solution</t>
  </si>
  <si>
    <t>11days 10mg/kg</t>
  </si>
  <si>
    <t>Lopressor divitabs</t>
  </si>
  <si>
    <t xml:space="preserve">HGC pure metoprolol </t>
  </si>
  <si>
    <t>100ml dextrose sol</t>
  </si>
  <si>
    <t>100 dextrose sol</t>
  </si>
  <si>
    <t>Gray</t>
  </si>
  <si>
    <t>Pili</t>
  </si>
  <si>
    <t>Eduard</t>
  </si>
  <si>
    <t>Alph</t>
  </si>
  <si>
    <t>100 ml dextrose sol</t>
  </si>
  <si>
    <t>LOP</t>
  </si>
  <si>
    <t>MT</t>
  </si>
  <si>
    <t>Edward</t>
  </si>
  <si>
    <t>MR 2h lag time</t>
  </si>
  <si>
    <t>Löbenberg2005</t>
  </si>
  <si>
    <t>Beoloc Duriles Astra</t>
  </si>
  <si>
    <t>Pulsed release capsule</t>
  </si>
  <si>
    <t>Metoprolol Geneva Generics</t>
  </si>
  <si>
    <t>2*50mg</t>
  </si>
  <si>
    <t>MR Pulsed 2h lag time</t>
  </si>
  <si>
    <t>Capsule</t>
  </si>
  <si>
    <t>100mg</t>
  </si>
  <si>
    <t>FCT Beloc Duriles</t>
  </si>
  <si>
    <t>Tablet Geneva Generics</t>
  </si>
  <si>
    <t>No data</t>
  </si>
  <si>
    <t>no data</t>
  </si>
  <si>
    <t>Adm.</t>
  </si>
  <si>
    <t xml:space="preserve">Rat </t>
  </si>
  <si>
    <t>Dissol.</t>
  </si>
  <si>
    <t>Ni2006</t>
  </si>
  <si>
    <t>Suspension</t>
  </si>
  <si>
    <t>Gut segment</t>
  </si>
  <si>
    <t>all</t>
  </si>
  <si>
    <t>jejunum</t>
  </si>
  <si>
    <t>illeum</t>
  </si>
  <si>
    <t>colon</t>
  </si>
  <si>
    <t>Eddington1998</t>
  </si>
  <si>
    <t>MR med.</t>
  </si>
  <si>
    <t>MR pulse</t>
  </si>
  <si>
    <t>Al-Saidon2004</t>
  </si>
  <si>
    <t xml:space="preserve">MR </t>
  </si>
  <si>
    <t>IR (pure DS)</t>
  </si>
  <si>
    <t>Lecaillon1985</t>
  </si>
  <si>
    <t>Stapperts2014</t>
  </si>
  <si>
    <t>solution FaSSIF</t>
  </si>
  <si>
    <t>Solution FeSSIF</t>
  </si>
  <si>
    <t>solution FaHIF</t>
  </si>
  <si>
    <t>Solution FeHIF</t>
  </si>
  <si>
    <t>fed lunch</t>
  </si>
  <si>
    <t>fed dinner</t>
  </si>
  <si>
    <t>19/190mg</t>
  </si>
  <si>
    <t>alpha hydroxy metoprolol</t>
  </si>
  <si>
    <t>Food effect</t>
  </si>
  <si>
    <t>solution 3H no plasma data</t>
  </si>
  <si>
    <t>8*100</t>
  </si>
  <si>
    <t>0.5 * tartrate 3H</t>
  </si>
  <si>
    <t>solution metabolites</t>
  </si>
  <si>
    <t>Beloc ZOC</t>
  </si>
  <si>
    <t>Abrahamsson1990</t>
  </si>
  <si>
    <t xml:space="preserve">min. therapeutic plasma conc. </t>
  </si>
  <si>
    <t>IR bid</t>
  </si>
  <si>
    <t>IR tid</t>
  </si>
  <si>
    <t>IR  qid</t>
  </si>
  <si>
    <t>IR qd</t>
  </si>
  <si>
    <t xml:space="preserve"> 1 nmol/L = 0,2674 ng/ml metoprolol</t>
  </si>
  <si>
    <t>MR h=80%</t>
  </si>
  <si>
    <t>Toprol XL</t>
  </si>
  <si>
    <t>Astra Zeneca</t>
  </si>
  <si>
    <t>USA</t>
  </si>
  <si>
    <t>25/50/100/200mg</t>
  </si>
  <si>
    <t>Metoprolol succinate</t>
  </si>
  <si>
    <t>Lopressor</t>
  </si>
  <si>
    <t>Novartis (Ciba)</t>
  </si>
  <si>
    <t>Metoprolol tartrate</t>
  </si>
  <si>
    <t>50/100mg IR</t>
  </si>
  <si>
    <t>200mg MR</t>
  </si>
  <si>
    <t>19/195</t>
  </si>
  <si>
    <t xml:space="preserve">19/285mg </t>
  </si>
  <si>
    <t>Divitabs/ retard/ SR</t>
  </si>
  <si>
    <t>Matrix polymer</t>
  </si>
  <si>
    <t>Sandberg1988</t>
  </si>
  <si>
    <t>succinate</t>
  </si>
  <si>
    <t>Lopressor SR</t>
  </si>
  <si>
    <t>Prelis</t>
  </si>
  <si>
    <t>Fumarate</t>
  </si>
  <si>
    <t>C19H31NO7</t>
  </si>
  <si>
    <t>Mono Succinate</t>
  </si>
  <si>
    <t>Di metoprolol</t>
  </si>
  <si>
    <t>98418-47-4</t>
  </si>
  <si>
    <r>
      <t>C</t>
    </r>
    <r>
      <rPr>
        <vertAlign val="subscript"/>
        <sz val="9.3000000000000007"/>
        <color rgb="FF555555"/>
        <rFont val="Arial"/>
        <family val="2"/>
      </rPr>
      <t>34</t>
    </r>
    <r>
      <rPr>
        <sz val="9.9"/>
        <color rgb="FF555555"/>
        <rFont val="Arial"/>
        <family val="2"/>
      </rPr>
      <t>H</t>
    </r>
    <r>
      <rPr>
        <vertAlign val="subscript"/>
        <sz val="9.3000000000000007"/>
        <color rgb="FF555555"/>
        <rFont val="Arial"/>
        <family val="2"/>
      </rPr>
      <t>56</t>
    </r>
    <r>
      <rPr>
        <sz val="9.9"/>
        <color rgb="FF555555"/>
        <rFont val="Arial"/>
        <family val="2"/>
      </rPr>
      <t>N</t>
    </r>
    <r>
      <rPr>
        <vertAlign val="subscript"/>
        <sz val="9.3000000000000007"/>
        <color rgb="FF555555"/>
        <rFont val="Arial"/>
        <family val="2"/>
      </rPr>
      <t>2</t>
    </r>
    <r>
      <rPr>
        <sz val="9.9"/>
        <color rgb="FF555555"/>
        <rFont val="Arial"/>
        <family val="2"/>
      </rPr>
      <t>O</t>
    </r>
    <r>
      <rPr>
        <vertAlign val="subscript"/>
        <sz val="9.3000000000000007"/>
        <color rgb="FF555555"/>
        <rFont val="Arial"/>
        <family val="2"/>
      </rPr>
      <t>10</t>
    </r>
    <r>
      <rPr>
        <sz val="9.9"/>
        <color rgb="FF555555"/>
        <rFont val="Arial"/>
        <family val="2"/>
      </rPr>
      <t>   </t>
    </r>
  </si>
  <si>
    <t xml:space="preserve">Di-Metoprolol </t>
  </si>
  <si>
    <t>mono tartrate</t>
  </si>
  <si>
    <t>80274-67-5</t>
  </si>
  <si>
    <t>water</t>
  </si>
  <si>
    <r>
      <t>C</t>
    </r>
    <r>
      <rPr>
        <vertAlign val="subscript"/>
        <sz val="9.3000000000000007"/>
        <color rgb="FF555555"/>
        <rFont val="Arial"/>
        <family val="2"/>
      </rPr>
      <t>34</t>
    </r>
    <r>
      <rPr>
        <sz val="9.9"/>
        <color rgb="FF555555"/>
        <rFont val="Arial"/>
        <family val="2"/>
      </rPr>
      <t>H</t>
    </r>
    <r>
      <rPr>
        <vertAlign val="subscript"/>
        <sz val="9.3000000000000007"/>
        <color rgb="FF555555"/>
        <rFont val="Arial"/>
        <family val="2"/>
      </rPr>
      <t>54</t>
    </r>
    <r>
      <rPr>
        <sz val="9.9"/>
        <color rgb="FF555555"/>
        <rFont val="Arial"/>
        <family val="2"/>
      </rPr>
      <t>N</t>
    </r>
    <r>
      <rPr>
        <vertAlign val="subscript"/>
        <sz val="9.3000000000000007"/>
        <color rgb="FF555555"/>
        <rFont val="Arial"/>
        <family val="2"/>
      </rPr>
      <t>2</t>
    </r>
    <r>
      <rPr>
        <sz val="9.9"/>
        <color rgb="FF555555"/>
        <rFont val="Arial"/>
        <family val="2"/>
      </rPr>
      <t>O</t>
    </r>
    <r>
      <rPr>
        <vertAlign val="subscript"/>
        <sz val="9.3000000000000007"/>
        <color rgb="FF555555"/>
        <rFont val="Arial"/>
        <family val="2"/>
      </rPr>
      <t>10</t>
    </r>
    <r>
      <rPr>
        <sz val="9.9"/>
        <color rgb="FF555555"/>
        <rFont val="Arial"/>
        <family val="2"/>
      </rPr>
      <t>   </t>
    </r>
  </si>
  <si>
    <t>CGP2175C</t>
  </si>
  <si>
    <t>Quinten2012</t>
  </si>
  <si>
    <t>C15H25NO3</t>
  </si>
  <si>
    <t>water 37°C</t>
  </si>
  <si>
    <t>Seloken Durules</t>
  </si>
  <si>
    <t>tartrate?</t>
  </si>
  <si>
    <t>pH7.5 PO4</t>
  </si>
  <si>
    <t>UV 274nm</t>
  </si>
  <si>
    <t>Beloc Zoc</t>
  </si>
  <si>
    <t>graph2#Fig4</t>
  </si>
  <si>
    <t>Tablet pellets</t>
  </si>
  <si>
    <t>Tablet matrix</t>
  </si>
  <si>
    <t>2*100</t>
  </si>
  <si>
    <t>Tablet pellet</t>
  </si>
  <si>
    <t>Graph2#Fig6</t>
  </si>
  <si>
    <t>Graph2#Fig7</t>
  </si>
  <si>
    <t>Graph2#Fig1</t>
  </si>
  <si>
    <t>fig7</t>
  </si>
  <si>
    <t>50mg</t>
  </si>
  <si>
    <t>200mg</t>
  </si>
  <si>
    <t>ZOK 200mg</t>
  </si>
  <si>
    <t>ZOK 100mg</t>
  </si>
  <si>
    <t>ZOK 50mg</t>
  </si>
  <si>
    <t>Seloken Duriles 200mg</t>
  </si>
  <si>
    <t>Prelis 200mg</t>
  </si>
  <si>
    <t>Lopressor SR 200mg</t>
  </si>
  <si>
    <t>IR 200mg</t>
  </si>
  <si>
    <t>ZOK 50mg fed</t>
  </si>
  <si>
    <t>ZOK 50mg fasted</t>
  </si>
  <si>
    <t>fig6</t>
  </si>
  <si>
    <t>ZOK50mg</t>
  </si>
  <si>
    <t>ng/(ml</t>
  </si>
  <si>
    <t>fig1</t>
  </si>
  <si>
    <t>Lopessor</t>
  </si>
  <si>
    <t>Seloken</t>
  </si>
  <si>
    <t>min therap. Plasma conc  ~12ng/ml  (= 45 nmol/L)</t>
  </si>
  <si>
    <t>Stout2011</t>
  </si>
  <si>
    <t>Metoprolol paroxetine</t>
  </si>
  <si>
    <t>50/20</t>
  </si>
  <si>
    <t>100/20</t>
  </si>
  <si>
    <t>IR/IR</t>
  </si>
  <si>
    <t>MR/IR</t>
  </si>
  <si>
    <t>succinate?/HCl</t>
  </si>
  <si>
    <t xml:space="preserve">Toprol XL/ </t>
  </si>
  <si>
    <t>succinate?</t>
  </si>
  <si>
    <t xml:space="preserve"> /HCl</t>
  </si>
  <si>
    <t>Paroxtine</t>
  </si>
  <si>
    <t>Graph2#Fig2</t>
  </si>
  <si>
    <t>Paroxetine</t>
  </si>
  <si>
    <t>CV</t>
  </si>
  <si>
    <t>Meto IR 50mg Paroxtine 20mg IR day 7</t>
  </si>
  <si>
    <t>Metoprolol 50mg IR day 1</t>
  </si>
  <si>
    <t>Enzym metab.</t>
  </si>
  <si>
    <t xml:space="preserve">Transporter </t>
  </si>
  <si>
    <t>Stout2013</t>
  </si>
  <si>
    <t>200uMol</t>
  </si>
  <si>
    <t>cell</t>
  </si>
  <si>
    <t>renal uptake Meto+</t>
  </si>
  <si>
    <t>CID</t>
  </si>
  <si>
    <t>tratrate</t>
  </si>
  <si>
    <t>Gray MR</t>
  </si>
  <si>
    <t>Pili MR</t>
  </si>
  <si>
    <t>Eduard MR</t>
  </si>
  <si>
    <t>Alph MR</t>
  </si>
  <si>
    <t>Hydroxy metoprolol</t>
  </si>
  <si>
    <t>metabolite</t>
  </si>
  <si>
    <t>fed breakf.</t>
  </si>
  <si>
    <t>fast</t>
  </si>
  <si>
    <t>breakf</t>
  </si>
  <si>
    <t>lunch</t>
  </si>
  <si>
    <t>dinner</t>
  </si>
  <si>
    <t xml:space="preserve">lunch </t>
  </si>
  <si>
    <t>fed breakfeast 300kcal</t>
  </si>
  <si>
    <t>fed lunch 300 kcal</t>
  </si>
  <si>
    <t>fed dinner 300kcal</t>
  </si>
  <si>
    <t>fed dinner 300 kcall</t>
  </si>
  <si>
    <t>Tablet wit coated beads</t>
  </si>
  <si>
    <t>Example 4</t>
  </si>
  <si>
    <t>Composition</t>
  </si>
  <si>
    <t>Ethylcellulose N-10</t>
  </si>
  <si>
    <t xml:space="preserve">Hydroxypropylmethyl clellulose </t>
  </si>
  <si>
    <t>Acetyltributylcitrate</t>
  </si>
  <si>
    <t>Methylene chloride</t>
  </si>
  <si>
    <t>Isopropylic alcohol</t>
  </si>
  <si>
    <t>Maize starch</t>
  </si>
  <si>
    <t>Lactose powder</t>
  </si>
  <si>
    <t>Polyvidone</t>
  </si>
  <si>
    <t>Water purified</t>
  </si>
  <si>
    <t>Magnesium stearate</t>
  </si>
  <si>
    <t>Tablet coating (12.500 tablets}</t>
  </si>
  <si>
    <t>Hydroxypropylmethyl cellulose</t>
  </si>
  <si>
    <t>Colour Titanium Dioxide</t>
  </si>
  <si>
    <t>Paraffin special</t>
  </si>
  <si>
    <t>Microcrystalline cellulose</t>
  </si>
  <si>
    <t>Material</t>
  </si>
  <si>
    <t>gramm</t>
  </si>
  <si>
    <t>Ethanol 95%</t>
  </si>
  <si>
    <t>SiO2 (0.15-0.25 mm)</t>
  </si>
  <si>
    <t>Drug layer</t>
  </si>
  <si>
    <t>Diffusion coating layer</t>
  </si>
  <si>
    <t>Beads</t>
  </si>
  <si>
    <t>Tablet (direct compression)</t>
  </si>
  <si>
    <t>Coated beads (0,4-0,63mm)</t>
  </si>
  <si>
    <t>Polyethylene glycol 6000</t>
  </si>
  <si>
    <t xml:space="preserve">Dose </t>
  </si>
  <si>
    <t>metoprolol succinate</t>
  </si>
  <si>
    <t>no tab. 190mg Meto succ</t>
  </si>
  <si>
    <t>mg tabl weight</t>
  </si>
  <si>
    <t>Gao2010</t>
  </si>
  <si>
    <t>25/50</t>
  </si>
  <si>
    <t>HCT/metoprolol TaiHua China</t>
  </si>
  <si>
    <t>Metoprolol/HCT 50/25mg IR</t>
  </si>
  <si>
    <t>Graph2#Fig4</t>
  </si>
  <si>
    <t>HCT</t>
  </si>
  <si>
    <t>Salt ratio</t>
  </si>
  <si>
    <t>Cp nmol/L</t>
  </si>
  <si>
    <t>Beloc ZOC Tablet 47,5mg</t>
  </si>
  <si>
    <t>intrinsic sol.</t>
  </si>
  <si>
    <t>Schönherr2015</t>
  </si>
  <si>
    <t>Söderlind2015</t>
  </si>
  <si>
    <t>Open Access?</t>
  </si>
  <si>
    <t>\\nas-vdd\public\vivo-drug-delivery\numbers4drugs\Excel\data\</t>
  </si>
  <si>
    <t>no</t>
  </si>
  <si>
    <t>Borg K, Fellenius E, Johansson R, Wallborg M. Pharmacokinetic studies of metoprolol (3H) in the rat and the dog. Acta Pharmacol Toxicol (Copenh) [Internet]. 1975 [cited 2014 Jul 27];36 suppl 5(1975):104–15. Available from: http://onlinelibrary.wiley.com/doi/10.1111/j.1600-0773.1975.tb03327.x/abstract</t>
  </si>
  <si>
    <t>Abrahamsson B, Lücker P, Olofsson B, Regårdh CG, Sandberg A, Wieselgren I, et al. The relationship between metoprolol plasma concentration and beta 1-blockade in healthy subjects: a study on conventional metoprolol and metoprolol CR/ZOK formulations. J Clin Pharmacol [Internet]. 1990 Feb;30(2 Suppl):S46–54. Available from: http://www.ncbi.nlm.nih.gov/pubmed/1968913</t>
  </si>
  <si>
    <t>Albin P, Markus A, Ben-Zvi Z, Pelah Z. A new slow release formulation of metoprolol: in-vitro and in-vivo evaluation in dogs. J Control release [Internet]. 1993 [cited 2014 Aug 4];23:1–11. Available from: http://www.sciencedirect.com/science/article/pii/016836599390065D</t>
  </si>
  <si>
    <t>Al-Saidan SM, Krishnaiah YSR, Satyanarayana V, Bhaskar P, Karthikeyan RS. Pharmacokinetic evaluation of guar gum-based three-layer matrix tablets for oral controlled delivery of highly soluble metoprolol tartrate as a model drug. Eur J Pharm Biopharm [Internet]. 2004 Nov [cited 2014 Aug 4];58(3):697–703. Available from: http://www.ncbi.nlm.nih.gov/pubmed/15451547</t>
  </si>
  <si>
    <t>Domenech J, Alba M, Morera J, Obach R, Pla Delfina J. Gastric, intestinal and colonic absorption of metoprolol in the rat. Br J Clin Pharmacol [Internet]. 1985 Apr 26 [cited 2014 Jul 26];19(S2):85S – 89S. Available from: http://onlinelibrary.wiley.com/doi/10.1111/j.1365-2125.1985.tb02747.x/abstract</t>
  </si>
  <si>
    <t>Eddington ND, Marroum P, Uppoor R, Hussain A, Augsburger L. Development and internal validation of an in vitro-in vivo correlation for a hydrophilic metoprolol tartrate extended release tablet formulation. Pharm Res [Internet]. 1998 Mar [cited 2014 Aug 8];15(3):466–73. Available from: http://www.ncbi.nlm.nih.gov/pubmed/9563079</t>
  </si>
  <si>
    <t>Godbillon J, Gerardin A, Richard J, Leroy D, Moppert J. Osmotically controlled-delivery of metoprolol in man: in vivo performance of Oros systems with different durations of drug release. Br J Clin Pharmacol [Internet]. 1985 Jan;19 Suppl 2:213S – 218S. Available from: http://www.pubmedcentral.nih.gov/articlerender.fcgi?artid=1463763&amp;tool=pmcentrez&amp;rendertype=abstract</t>
  </si>
  <si>
    <t>Grainger SL, John V a, Shotton P a, Smith SE. A multiple dose pharmacokinetic and pharmacodynamic evaluation of conventional and 19/285 Oros formulations of metoprolol in healthy volunteers. Br J Clin Pharmacol [Internet]. 1985 Jan;19 Suppl 2:239S – 244S. Available from: http://www.pubmedcentral.nih.gov/articlerender.fcgi?artid=1463773&amp;tool=pmcentrez&amp;rendertype=abstract</t>
  </si>
  <si>
    <t>Kendall MJ, Jack DB, Woods KL, Laugher SJ, Quarterman CP, John VA. Comparison of the pharmacodynamic and pharmacokinetic profiles of single and multiple doses of a commercial slow-release metoprolol formulation with a new Oros delivery system. Br J Clin Pharmacol [Internet]. 1982 Mar;13(3):393–8. Available from: http://www.ncbi.nlm.nih.gov/pubmed/7059440</t>
  </si>
  <si>
    <t>Kerkhof K, Iordanov V, Shimizu J, Wanke C, Zou H. Development and Operation of a New IntelliCap Fast Release System. CRS 41st annual meeting. Chicago, USA; 2014. p. Abstract no 433.</t>
  </si>
  <si>
    <t>Lecaillon JB, Massias P, Schoeller JP, Abadie F. Influence of food on the absorption of metoprolol administered as an Oros drug delivery system to man. Br J Clin Pharmacol [Internet]. 1985 Jan;19 Suppl 2:245S – 249S. Available from: http://www.pubmedcentral.nih.gov/articlerender.fcgi?artid=1463758&amp;tool=pmcentrez&amp;rendertype=abstract</t>
  </si>
  <si>
    <t>Löbenberg R, Kim JS, Amidon GL. Pharmacokinetics of an immediate release, a controlled release and a two pulse dosage form in dogs. Eur J Pharm Biopharm [Internet]. 2005 May [cited 2013 Dec 17];60(1):17–23. Available from: http://www.sciencedirect.com/science/article/pii/S0939641104003261</t>
  </si>
  <si>
    <t>Masaoka Y, Tanaka Y, Kataoka M, Sakuma S, Yamashita S. Site of drug absorption after oral administration: assessment of membrane permeability and luminal concentration of drugs in each segment of gastrointestinal tract. Eur J Pharm Sci [Internet]. 2006 Nov [cited 2013 Apr 9];29(3-4):240–50. Available from: http://www.ncbi.nlm.nih.gov/pubmed/16876987</t>
  </si>
  <si>
    <t>Nyberg L, Månsson W, Abrahamsson B, Seidegård J, Borgå O. A convenient method for local drug administration at predefined sites in the entire gastrointestinal tract: experiences from 13 phase I studies. Eur J Pharm Sci [Internet]. 2007 Apr [cited 2014 Jul 29];30(5):432–40. Available from: http://www.ncbi.nlm.nih.gov/pubmed/17336045</t>
  </si>
  <si>
    <t>Regårdh CG, Borg KO, Johansson R, Johnsson G, Palmer L. Pharmacokinetic studies on the selective beta1-receptor antagonist metoprolol in man. J Pharmacokinet Biopharm [Internet]. 1974 Aug;2(4):347–64. Available from: http://www.ncbi.nlm.nih.gov/pubmed/4155762</t>
  </si>
  <si>
    <t>Regårdh CG, Johnsson G, Jordö L, Sölvell L. Comparative bioavailability and effect studies on metoprolol administered as ordinary and slow-release tablets in single and multiple doses. Acta Pharmacol Toxicol (Copenh) [Internet]. 1975 Jan;36(Suppl 5):45–58. Available from: http://www.ncbi.nlm.nih.gov/pubmed/1079687</t>
  </si>
  <si>
    <t>Regårdh CG, Johnsson G, Jordö L, Lungborg P, Persson BA, Rönn O. Plasma concentrations and beta-blocking effects in normal volunteers after intravenous doses of metoprolol and propranolol. J Cardiovasc Pharmacol [Internet]. 1980;2(6):715–23. Available from: http://www.ncbi.nlm.nih.gov/pubmed/6160322</t>
  </si>
  <si>
    <t>Söderlind E, Abrahamsson B, Erlandsson F, Wanke C, Iordanov V, Von Corswant C. Validation of the IntelliCap system as a tool to evaluate extended release profiles in human GI tract using metoprolol as model drug. J Control Release [Internet]. Elsevier B.V.; 2015;217:300–7. Available from: http://dx.doi.org/10.1016/j.jconrel.2015.09.024</t>
  </si>
  <si>
    <t>Stappaerts J, Wuyts B, Tack J, Annaert P, Augustijns P. Human and simulated intestinal fluids as solvent systems to explore food effects on intestinal solubility and permeability. Eur J Pharm Sci [Internet]. 2014 Jul 22 [cited 2014 Aug 4]; Available from: http://www.ncbi.nlm.nih.gov/pubmed/25063035</t>
  </si>
  <si>
    <t>Metoprolol/ HCT</t>
  </si>
  <si>
    <t>Lukacova V, Woltosz WS, Bolger MB. Prediction of modified release pharmacokinetics and pharmacodynamics from in vitro, immediate release, and intravenous data. AAPS J [Internet]. 2009 Jun [cited 2013 Jun 29];11(2):323–34. Available from: http://www.pubmedcentral.nih.gov/articlerender.fcgi?artid=2691467&amp;tool=pmcentrez&amp;rendertype=abstract</t>
  </si>
  <si>
    <t>Lukacova2009</t>
  </si>
  <si>
    <t>Sandberg A, Ragnarsson G, Jonsson UE, Sjögren J. Design of a new multiple-unit controlled-release formulation of metoprolol--metoprolol CR. Eur J Clin Pharmacol. 1988;33 Suppl:S3–7.</t>
  </si>
  <si>
    <t>Stout SM, Nielsen J, Welage LS, Shea M, Brook R, Kerber K, et al. Influence of metoprolol dosage release formulation on the pharmacokinetic drug interaction with paroxetine. J Clin Pharmacol. 2011;51(3):389–96.</t>
  </si>
  <si>
    <t>Dudley AJ, Bleasby K, Brown CD. The organic cation transporter OCT2 mediates the uptake of beta-adrenoceptor antagonists across the apical membrane of renal LLC-PK(1) cell monolayers. Br J Pharmacol [Internet]. 2000 Sep [cited 2014 Oct 13];131(1):71–9. Available from: http://www.pubmedcentral.nih.gov/articlerender.fcgi?artid=1572285&amp;tool=pmcentrez&amp;rendertype=abstract</t>
  </si>
  <si>
    <t>Gao F, Zhang M, Cui X, Wang Z, Sun Y, Gu J. Simultaneous quantitation of hydrochlorothiazide and metoprolol in human plasma by liquid chromatography-tandem mass spectrometry. J Pharm Biomed Anal. 2010;52(1):149–54.</t>
  </si>
  <si>
    <t>Quatermann1981</t>
  </si>
  <si>
    <t>Quarterman CP, Kendall MJ, Jack DB. The effect of age on the pharmacokinetics of metoprolol and its metabolites. Br J Clin Pharmacol [Internet]. 1981 Mar [cited 2014 Aug 8];11(3):287–94. Available from: http://onlinelibrary.wiley.com/doi/10.1111/j.1365-2125.1981.tb00536.x/abstract</t>
  </si>
  <si>
    <t>metabolites</t>
  </si>
  <si>
    <t>Quinten T, Andrews GP, Beer T, Saerens L, Bouquet W, Jones DS, et al. Preparation and Evaluation of Sustained-Release Matrix Tablets Based on Metoprolol and an Acrylic Carrier Using Injection Moulding. AAPS PharmSciTech. 2012;13(4).</t>
  </si>
  <si>
    <t>Chuasuwan B, Binjesoh V, Polli JE, Zhang H, Amidon GL, Junginger HE, et al. Biowaiver Monographs for Immediate Release Solid Oral Dosage Forms : Diclofenac Sodium and Diclofenac Potassium. J Pharm Sci [Internet]. 2009 Apr [cited 2014 Feb 16];98(4):1206–19. Available from: http://onlinelibrary.wiley.com/doi/10.1002/jps.21525/full</t>
  </si>
  <si>
    <t>Kim J-S, Mitchell S, Kijek P, Tsume Y, Hilfinger J, Amidon GL. The suitability of an in situ perfusion model for permeability determinations: utility for BCS class I biowaiver requests. Mol Pharm [Internet]. 2006;3(6):686–94. Available from: http://www.ncbi.nlm.nih.gov/pubmed/17140256</t>
  </si>
  <si>
    <t>Schönherr D, Wollatz U, Haznar-Garbacz D, Hanke U, Box KJ, Taylor R, et al. Characterisation of selected active agents regarding pKa values, solubility concentrations and pH profiles by SiriusT3. Eur J Pharm Biopharm [Internet]. 2015;92:155–70. Available from: http://linkinghub.elsevier.com/retrieve/pii/S0939641115001101</t>
  </si>
  <si>
    <t>Gardiner SJ, Begg EJ. Pharmacogenetics, drug-metabolizing enzymes and clinical practice. Pharmacol Rev [Internet]. 2006 Sep [cited 2014 Aug 8];58(3):521–90. Available from: http://pharmrev.aspetjournals.org/content/58/3/521.short</t>
  </si>
  <si>
    <t>Gardiner2006</t>
  </si>
  <si>
    <t>Ragnarsson G. Development of a new controlled release metoprolol product. Drug Dev … [Internet]. 1987 [cited 2014 Oct 9];13:1495–509. Available from: http://informahealthcare.com/doi/abs/10.3109/03639048709068677</t>
  </si>
  <si>
    <t>Ragnarsson1987</t>
  </si>
  <si>
    <t>Ragnarson 1987</t>
  </si>
  <si>
    <t>McFarland JW, Avdeef A, Berger CM, Raevsky OA. Estimating the water solubilities of crystalline compounds from their chemical structures alone. J Chem Inf Comput Sci [Internet]. 2001 [cited 2014 Apr 17];41(5):1355–9. Available from: http://www.ncbi.nlm.nih.gov/pubmed/11604037</t>
  </si>
  <si>
    <t>McFarland2001</t>
  </si>
  <si>
    <t>Lennernäs H. Animal data: the contributions of the Ussing Chamber and perfusion systems to predicting human oral drug delivery in vivo. Adv Drug Deliv Rev [Internet]. 2007 Sep 30 [cited 2013 Oct 13];59(11):1103–20. Available from: http://www.ncbi.nlm.nih.gov/pubmed/17900749</t>
  </si>
  <si>
    <t>in vitro</t>
  </si>
  <si>
    <t>C max nmol/L</t>
  </si>
  <si>
    <t>AUC inf nmol*h/L</t>
  </si>
  <si>
    <t>6h</t>
  </si>
  <si>
    <t>pulse</t>
  </si>
  <si>
    <t>ng/L</t>
  </si>
  <si>
    <t>graph2#Fig2a</t>
  </si>
  <si>
    <t>Phosphate buffer 6.8+ 0.3% Tween80</t>
  </si>
  <si>
    <t>UV fibre optic 275nm</t>
  </si>
  <si>
    <t>Tested no DF</t>
  </si>
  <si>
    <t>Medium 2 vol ml</t>
  </si>
  <si>
    <t>min</t>
  </si>
  <si>
    <t>in vivo dissolution</t>
  </si>
  <si>
    <t>IVIVC</t>
  </si>
  <si>
    <t>Frac absorp</t>
  </si>
  <si>
    <t>% abs</t>
  </si>
  <si>
    <t>Graph2#Fig3a</t>
  </si>
  <si>
    <t>Graph2#Fig3b</t>
  </si>
  <si>
    <t>Graph2#Fig3c</t>
  </si>
  <si>
    <t>Fract released</t>
  </si>
  <si>
    <t>% released</t>
  </si>
  <si>
    <t>DR</t>
  </si>
  <si>
    <t>% absorp</t>
  </si>
  <si>
    <t>using numerical deconvolution with Win NonLIN 6.2</t>
  </si>
  <si>
    <t>Plasma level</t>
  </si>
  <si>
    <t>low</t>
  </si>
  <si>
    <t>medium</t>
  </si>
  <si>
    <t>high</t>
  </si>
  <si>
    <t>Dosage Form</t>
  </si>
  <si>
    <t>Individual Cp</t>
  </si>
  <si>
    <t>Dissolution 
IVIVC</t>
  </si>
  <si>
    <t>MR + IR</t>
  </si>
  <si>
    <t>Klein S, Dressman J. Comparison of drug release from metoprolol modified release dosage forms in single buffer versus a pH-gradient dissolution test. Dissolution Technol [Internet]. 2006 [cited 2014 Aug 12];(February):6–12. Available from: http://www.dissolutiontech.com/DTresour/200602Articles/DT200602_A01.pdf</t>
  </si>
  <si>
    <t>Klein2006</t>
  </si>
  <si>
    <t>Gastro+ 
results</t>
  </si>
  <si>
    <t>Solid part of drug layer</t>
  </si>
  <si>
    <t>Solid part of beads</t>
  </si>
  <si>
    <t>Solid part of coating</t>
  </si>
  <si>
    <t>mg drug weight</t>
  </si>
  <si>
    <t>drug load % tablet core</t>
  </si>
  <si>
    <t>\\servername\subdir1\subdir2\numbers4drugs\Excel\data\</t>
  </si>
  <si>
    <t xml:space="preserve"> Lukacova2009</t>
  </si>
  <si>
    <t>45 nmol/L = 12 ng/ml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</si>
</sst>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€_-;\-* #,##0.00\ _€_-;_-* &quot;-&quot;??\ _€_-;_-@_-"/>
    <numFmt numFmtId="164" formatCode="[$-409]d\-mmm\-yy;@"/>
    <numFmt numFmtId="165" formatCode="[$-409]dd\-mmm\-yy;@"/>
    <numFmt numFmtId="166" formatCode="0.0"/>
    <numFmt numFmtId="167" formatCode="[$-807]d/\ mmm\ yy;@"/>
    <numFmt numFmtId="168" formatCode="h:mm;@"/>
    <numFmt numFmtId="169" formatCode="h:mm:ss;@"/>
    <numFmt numFmtId="170" formatCode="0.0000"/>
    <numFmt numFmtId="171" formatCode="#,##0\ _€"/>
    <numFmt numFmtId="172" formatCode="0.00000"/>
  </numFmts>
  <fonts count="51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b/>
      <sz val="11"/>
      <color rgb="FFFF0000"/>
      <name val="Arial"/>
      <family val="2"/>
    </font>
    <font>
      <sz val="11"/>
      <name val="Arial"/>
      <family val="2"/>
    </font>
    <font>
      <sz val="10"/>
      <name val="Arial"/>
      <family val="2"/>
    </font>
    <font>
      <i/>
      <sz val="11"/>
      <color theme="1"/>
      <name val="Arial"/>
      <family val="2"/>
    </font>
    <font>
      <i/>
      <sz val="11"/>
      <color rgb="FFFF0000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u/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22"/>
      <color theme="1"/>
      <name val="Arial"/>
      <family val="2"/>
    </font>
    <font>
      <b/>
      <sz val="18"/>
      <color rgb="FFFF0000"/>
      <name val="Arial"/>
      <family val="2"/>
    </font>
    <font>
      <u/>
      <sz val="10"/>
      <color theme="10"/>
      <name val="Arial"/>
      <family val="2"/>
    </font>
    <font>
      <b/>
      <sz val="16"/>
      <color theme="1"/>
      <name val="Arial"/>
      <family val="2"/>
    </font>
    <font>
      <sz val="11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b/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theme="1"/>
      <name val="Arial Narrow"/>
      <family val="2"/>
    </font>
    <font>
      <b/>
      <i/>
      <sz val="11"/>
      <color theme="1"/>
      <name val="Arial"/>
      <family val="2"/>
    </font>
    <font>
      <b/>
      <i/>
      <sz val="11"/>
      <color rgb="FFFF0000"/>
      <name val="Arial"/>
      <family val="2"/>
    </font>
    <font>
      <sz val="11"/>
      <color theme="1" tint="0.499984740745262"/>
      <name val="Arial"/>
      <family val="2"/>
    </font>
    <font>
      <sz val="9"/>
      <name val="Arial"/>
      <family val="2"/>
    </font>
    <font>
      <sz val="9.9"/>
      <color rgb="FF555555"/>
      <name val="Arial"/>
      <family val="2"/>
    </font>
    <font>
      <vertAlign val="subscript"/>
      <sz val="9.3000000000000007"/>
      <color rgb="FF555555"/>
      <name val="Arial"/>
      <family val="2"/>
    </font>
    <font>
      <sz val="11"/>
      <color rgb="FF000000"/>
      <name val="Calibri"/>
      <family val="2"/>
    </font>
    <font>
      <sz val="11"/>
      <color theme="0" tint="-0.34998626667073579"/>
      <name val="Arial"/>
      <family val="2"/>
    </font>
    <font>
      <sz val="11"/>
      <color rgb="FF444444"/>
      <name val="Arial"/>
      <family val="2"/>
    </font>
    <font>
      <sz val="11"/>
      <color theme="1" tint="0.34998626667073579"/>
      <name val="Arial"/>
      <family val="2"/>
    </font>
    <font>
      <i/>
      <u/>
      <sz val="11"/>
      <color theme="1"/>
      <name val="Arial"/>
      <family val="2"/>
    </font>
    <font>
      <sz val="11"/>
      <color theme="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</patternFill>
    </fill>
    <fill>
      <patternFill patternType="solid">
        <fgColor rgb="FFFFFFFF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11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6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9" fillId="0" borderId="0"/>
    <xf numFmtId="43" fontId="13" fillId="0" borderId="0" applyFont="0" applyFill="0" applyBorder="0" applyAlignment="0" applyProtection="0"/>
    <xf numFmtId="0" fontId="4" fillId="0" borderId="0"/>
    <xf numFmtId="0" fontId="3" fillId="0" borderId="0"/>
  </cellStyleXfs>
  <cellXfs count="315">
    <xf numFmtId="0" fontId="0" fillId="0" borderId="0" xfId="0"/>
    <xf numFmtId="0" fontId="5" fillId="0" borderId="0" xfId="0" applyFont="1"/>
    <xf numFmtId="0" fontId="6" fillId="0" borderId="0" xfId="1" applyAlignment="1" applyProtection="1"/>
    <xf numFmtId="0" fontId="7" fillId="0" borderId="0" xfId="0" applyFont="1"/>
    <xf numFmtId="0" fontId="5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6" fillId="0" borderId="0" xfId="1" applyBorder="1" applyAlignment="1" applyProtection="1">
      <alignment vertical="center"/>
    </xf>
    <xf numFmtId="0" fontId="0" fillId="0" borderId="0" xfId="0" applyBorder="1"/>
    <xf numFmtId="0" fontId="0" fillId="0" borderId="0" xfId="0" applyNumberFormat="1" applyBorder="1" applyAlignment="1">
      <alignment horizontal="center" vertical="top" wrapText="1"/>
    </xf>
    <xf numFmtId="0" fontId="0" fillId="0" borderId="0" xfId="0" applyBorder="1" applyAlignment="1">
      <alignment horizontal="center"/>
    </xf>
    <xf numFmtId="0" fontId="5" fillId="0" borderId="0" xfId="0" applyFont="1" applyAlignment="1">
      <alignment wrapText="1"/>
    </xf>
    <xf numFmtId="0" fontId="5" fillId="0" borderId="0" xfId="0" applyFont="1" applyAlignment="1">
      <alignment vertical="top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left" vertical="top"/>
    </xf>
    <xf numFmtId="0" fontId="0" fillId="0" borderId="0" xfId="0" applyFont="1"/>
    <xf numFmtId="0" fontId="0" fillId="0" borderId="0" xfId="0" applyFont="1" applyAlignment="1">
      <alignment wrapText="1"/>
    </xf>
    <xf numFmtId="164" fontId="8" fillId="0" borderId="0" xfId="0" applyNumberFormat="1" applyFont="1" applyFill="1" applyBorder="1" applyAlignment="1" applyProtection="1">
      <alignment horizontal="center"/>
    </xf>
    <xf numFmtId="166" fontId="0" fillId="0" borderId="0" xfId="0" applyNumberFormat="1"/>
    <xf numFmtId="2" fontId="0" fillId="0" borderId="0" xfId="0" applyNumberFormat="1" applyBorder="1"/>
    <xf numFmtId="0" fontId="0" fillId="0" borderId="0" xfId="0" applyAlignment="1"/>
    <xf numFmtId="0" fontId="0" fillId="0" borderId="0" xfId="0" applyAlignment="1">
      <alignment horizontal="left" indent="1"/>
    </xf>
    <xf numFmtId="0" fontId="0" fillId="0" borderId="0" xfId="0" applyBorder="1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6" fillId="0" borderId="0" xfId="1" applyAlignment="1" applyProtection="1">
      <alignment horizontal="center"/>
    </xf>
    <xf numFmtId="0" fontId="0" fillId="0" borderId="0" xfId="0" applyAlignment="1">
      <alignment horizontal="left"/>
    </xf>
    <xf numFmtId="0" fontId="0" fillId="0" borderId="0" xfId="0" applyBorder="1" applyAlignment="1">
      <alignment horizontal="right"/>
    </xf>
    <xf numFmtId="0" fontId="0" fillId="0" borderId="0" xfId="0" applyAlignment="1">
      <alignment horizontal="right"/>
    </xf>
    <xf numFmtId="1" fontId="8" fillId="0" borderId="0" xfId="0" applyNumberFormat="1" applyFont="1" applyFill="1" applyBorder="1" applyAlignment="1">
      <alignment horizontal="center" vertical="center"/>
    </xf>
    <xf numFmtId="167" fontId="8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0" fontId="8" fillId="0" borderId="0" xfId="0" applyNumberFormat="1" applyFont="1" applyFill="1" applyBorder="1" applyAlignment="1" applyProtection="1">
      <alignment horizontal="right"/>
      <protection locked="0"/>
    </xf>
    <xf numFmtId="0" fontId="6" fillId="0" borderId="0" xfId="1" applyBorder="1" applyAlignment="1" applyProtection="1">
      <alignment horizontal="left"/>
    </xf>
    <xf numFmtId="0" fontId="0" fillId="0" borderId="0" xfId="0" applyFont="1" applyAlignment="1">
      <alignment horizontal="left"/>
    </xf>
    <xf numFmtId="0" fontId="0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164" fontId="8" fillId="0" borderId="0" xfId="0" applyNumberFormat="1" applyFont="1" applyFill="1" applyBorder="1" applyAlignment="1" applyProtection="1">
      <alignment horizontal="left"/>
    </xf>
    <xf numFmtId="0" fontId="0" fillId="0" borderId="0" xfId="0" applyBorder="1" applyAlignment="1">
      <alignment horizontal="left"/>
    </xf>
    <xf numFmtId="0" fontId="6" fillId="0" borderId="0" xfId="1" applyAlignment="1" applyProtection="1">
      <alignment horizontal="left"/>
    </xf>
    <xf numFmtId="166" fontId="0" fillId="0" borderId="0" xfId="0" applyNumberFormat="1" applyBorder="1" applyAlignment="1">
      <alignment horizontal="right"/>
    </xf>
    <xf numFmtId="166" fontId="0" fillId="0" borderId="0" xfId="0" applyNumberFormat="1" applyBorder="1" applyAlignment="1">
      <alignment horizontal="right" vertical="top" wrapText="1"/>
    </xf>
    <xf numFmtId="166" fontId="0" fillId="0" borderId="0" xfId="0" applyNumberFormat="1" applyAlignment="1">
      <alignment horizontal="right"/>
    </xf>
    <xf numFmtId="0" fontId="0" fillId="0" borderId="0" xfId="0" applyFont="1" applyBorder="1" applyAlignment="1"/>
    <xf numFmtId="0" fontId="5" fillId="0" borderId="0" xfId="0" applyFont="1" applyAlignment="1"/>
    <xf numFmtId="0" fontId="0" fillId="0" borderId="0" xfId="0" applyAlignment="1">
      <alignment wrapText="1"/>
    </xf>
    <xf numFmtId="0" fontId="6" fillId="0" borderId="0" xfId="1" applyAlignment="1" applyProtection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Border="1" applyAlignment="1"/>
    <xf numFmtId="0" fontId="11" fillId="0" borderId="0" xfId="0" applyFont="1" applyBorder="1" applyAlignment="1"/>
    <xf numFmtId="0" fontId="0" fillId="0" borderId="0" xfId="0" applyFont="1" applyAlignment="1"/>
    <xf numFmtId="0" fontId="7" fillId="0" borderId="0" xfId="0" applyFont="1" applyAlignment="1"/>
    <xf numFmtId="0" fontId="0" fillId="0" borderId="0" xfId="0" applyFill="1"/>
    <xf numFmtId="0" fontId="0" fillId="0" borderId="0" xfId="0" applyFont="1" applyAlignment="1">
      <alignment vertical="center" wrapText="1"/>
    </xf>
    <xf numFmtId="0" fontId="8" fillId="0" borderId="0" xfId="0" applyNumberFormat="1" applyFont="1" applyFill="1" applyBorder="1" applyAlignment="1" applyProtection="1">
      <alignment horizontal="left"/>
    </xf>
    <xf numFmtId="0" fontId="8" fillId="0" borderId="0" xfId="0" applyNumberFormat="1" applyFont="1" applyBorder="1" applyAlignment="1" applyProtection="1">
      <alignment horizontal="left" vertical="center"/>
    </xf>
    <xf numFmtId="0" fontId="13" fillId="0" borderId="0" xfId="2"/>
    <xf numFmtId="0" fontId="6" fillId="0" borderId="0" xfId="3" applyAlignment="1" applyProtection="1"/>
    <xf numFmtId="0" fontId="6" fillId="0" borderId="0" xfId="3" quotePrefix="1" applyAlignment="1" applyProtection="1"/>
    <xf numFmtId="0" fontId="7" fillId="0" borderId="0" xfId="2" applyFont="1"/>
    <xf numFmtId="0" fontId="10" fillId="0" borderId="0" xfId="0" applyFont="1"/>
    <xf numFmtId="0" fontId="0" fillId="0" borderId="0" xfId="0" applyFont="1" applyBorder="1" applyAlignment="1">
      <alignment vertical="top"/>
    </xf>
    <xf numFmtId="0" fontId="13" fillId="2" borderId="0" xfId="2" applyFill="1"/>
    <xf numFmtId="0" fontId="14" fillId="0" borderId="0" xfId="0" applyFont="1"/>
    <xf numFmtId="0" fontId="14" fillId="0" borderId="0" xfId="0" applyFont="1" applyAlignment="1"/>
    <xf numFmtId="0" fontId="17" fillId="0" borderId="0" xfId="5" applyFont="1"/>
    <xf numFmtId="0" fontId="16" fillId="0" borderId="0" xfId="5"/>
    <xf numFmtId="0" fontId="18" fillId="0" borderId="0" xfId="5" applyFont="1"/>
    <xf numFmtId="0" fontId="19" fillId="0" borderId="0" xfId="6" applyAlignment="1" applyProtection="1"/>
    <xf numFmtId="0" fontId="20" fillId="0" borderId="0" xfId="5" applyFont="1"/>
    <xf numFmtId="0" fontId="0" fillId="0" borderId="0" xfId="0" applyAlignment="1">
      <alignment vertical="center" wrapText="1"/>
    </xf>
    <xf numFmtId="2" fontId="0" fillId="0" borderId="0" xfId="0" applyNumberFormat="1" applyFill="1" applyBorder="1" applyAlignment="1">
      <alignment horizontal="left"/>
    </xf>
    <xf numFmtId="0" fontId="7" fillId="0" borderId="0" xfId="5" applyFont="1"/>
    <xf numFmtId="0" fontId="21" fillId="0" borderId="0" xfId="0" applyFont="1"/>
    <xf numFmtId="0" fontId="21" fillId="0" borderId="0" xfId="0" applyFont="1" applyAlignment="1"/>
    <xf numFmtId="0" fontId="21" fillId="0" borderId="0" xfId="0" applyFont="1" applyAlignment="1">
      <alignment vertical="center"/>
    </xf>
    <xf numFmtId="2" fontId="0" fillId="0" borderId="0" xfId="0" applyNumberFormat="1"/>
    <xf numFmtId="0" fontId="0" fillId="0" borderId="0" xfId="0" quotePrefix="1"/>
    <xf numFmtId="0" fontId="5" fillId="0" borderId="1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0" fillId="0" borderId="0" xfId="0" applyFill="1" applyBorder="1"/>
    <xf numFmtId="0" fontId="5" fillId="0" borderId="1" xfId="0" applyFont="1" applyBorder="1" applyAlignment="1">
      <alignment horizontal="center" vertical="center"/>
    </xf>
    <xf numFmtId="0" fontId="0" fillId="0" borderId="0" xfId="0" applyFill="1" applyBorder="1" applyAlignment="1">
      <alignment horizontal="left"/>
    </xf>
    <xf numFmtId="0" fontId="6" fillId="0" borderId="0" xfId="1" applyAlignment="1" applyProtection="1">
      <alignment horizontal="center" vertical="top"/>
    </xf>
    <xf numFmtId="0" fontId="5" fillId="0" borderId="0" xfId="0" applyFont="1" applyFill="1" applyBorder="1" applyAlignment="1"/>
    <xf numFmtId="0" fontId="21" fillId="0" borderId="0" xfId="0" applyFont="1" applyAlignment="1">
      <alignment horizontal="center" vertical="center"/>
    </xf>
    <xf numFmtId="1" fontId="0" fillId="0" borderId="0" xfId="0" applyNumberFormat="1" applyBorder="1" applyAlignment="1">
      <alignment horizontal="right"/>
    </xf>
    <xf numFmtId="1" fontId="25" fillId="0" borderId="0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top"/>
    </xf>
    <xf numFmtId="1" fontId="0" fillId="0" borderId="0" xfId="0" applyNumberFormat="1" applyFill="1" applyBorder="1" applyAlignment="1">
      <alignment horizontal="center" vertical="top"/>
    </xf>
    <xf numFmtId="0" fontId="0" fillId="0" borderId="0" xfId="0" applyFont="1" applyBorder="1" applyAlignment="1">
      <alignment horizontal="center" vertical="top"/>
    </xf>
    <xf numFmtId="0" fontId="0" fillId="0" borderId="0" xfId="0" applyFont="1" applyAlignment="1">
      <alignment horizontal="center" vertical="top"/>
    </xf>
    <xf numFmtId="0" fontId="0" fillId="0" borderId="0" xfId="0" applyFont="1" applyBorder="1" applyAlignment="1">
      <alignment horizontal="center"/>
    </xf>
    <xf numFmtId="0" fontId="7" fillId="0" borderId="0" xfId="0" applyFont="1" applyAlignment="1">
      <alignment vertical="top"/>
    </xf>
    <xf numFmtId="0" fontId="0" fillId="0" borderId="0" xfId="0" applyFont="1" applyAlignment="1">
      <alignment vertical="top"/>
    </xf>
    <xf numFmtId="0" fontId="8" fillId="0" borderId="0" xfId="0" applyNumberFormat="1" applyFont="1" applyFill="1" applyBorder="1" applyAlignment="1" applyProtection="1">
      <alignment horizontal="left" vertical="top"/>
    </xf>
    <xf numFmtId="0" fontId="6" fillId="0" borderId="0" xfId="1" applyBorder="1" applyAlignment="1" applyProtection="1">
      <alignment horizontal="left" vertical="top"/>
    </xf>
    <xf numFmtId="0" fontId="11" fillId="0" borderId="0" xfId="0" applyFont="1" applyBorder="1" applyAlignment="1">
      <alignment vertical="top"/>
    </xf>
    <xf numFmtId="0" fontId="6" fillId="0" borderId="0" xfId="1" applyBorder="1" applyAlignment="1" applyProtection="1">
      <alignment vertical="top"/>
    </xf>
    <xf numFmtId="0" fontId="6" fillId="0" borderId="0" xfId="1" applyAlignment="1" applyProtection="1">
      <alignment vertical="top"/>
    </xf>
    <xf numFmtId="0" fontId="8" fillId="0" borderId="0" xfId="0" applyNumberFormat="1" applyFont="1" applyBorder="1" applyAlignment="1" applyProtection="1">
      <alignment horizontal="left" vertical="top"/>
    </xf>
    <xf numFmtId="0" fontId="0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5" fillId="0" borderId="0" xfId="0" applyFont="1" applyAlignment="1">
      <alignment vertical="top" wrapText="1"/>
    </xf>
    <xf numFmtId="0" fontId="12" fillId="0" borderId="0" xfId="0" applyFont="1" applyAlignment="1">
      <alignment vertical="top"/>
    </xf>
    <xf numFmtId="0" fontId="0" fillId="0" borderId="0" xfId="0" applyFont="1" applyBorder="1" applyAlignment="1">
      <alignment horizontal="left" vertical="top"/>
    </xf>
    <xf numFmtId="164" fontId="8" fillId="0" borderId="0" xfId="0" applyNumberFormat="1" applyFont="1" applyFill="1" applyBorder="1" applyAlignment="1" applyProtection="1">
      <alignment horizontal="center" vertical="top"/>
    </xf>
    <xf numFmtId="164" fontId="8" fillId="0" borderId="0" xfId="0" applyNumberFormat="1" applyFont="1" applyBorder="1" applyAlignment="1" applyProtection="1">
      <alignment horizontal="center" vertical="top"/>
      <protection locked="0"/>
    </xf>
    <xf numFmtId="164" fontId="0" fillId="0" borderId="0" xfId="0" applyNumberFormat="1" applyFont="1" applyAlignment="1">
      <alignment vertical="top"/>
    </xf>
    <xf numFmtId="165" fontId="0" fillId="0" borderId="0" xfId="0" applyNumberFormat="1" applyFont="1" applyAlignment="1">
      <alignment vertical="top"/>
    </xf>
    <xf numFmtId="164" fontId="8" fillId="0" borderId="0" xfId="0" applyNumberFormat="1" applyFont="1" applyFill="1" applyBorder="1" applyAlignment="1" applyProtection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0" xfId="0" applyBorder="1" applyAlignment="1">
      <alignment vertical="top"/>
    </xf>
    <xf numFmtId="0" fontId="0" fillId="0" borderId="0" xfId="0" applyFill="1" applyBorder="1" applyAlignment="1">
      <alignment horizontal="left" vertical="top"/>
    </xf>
    <xf numFmtId="2" fontId="8" fillId="0" borderId="0" xfId="0" applyNumberFormat="1" applyFont="1" applyBorder="1" applyAlignment="1" applyProtection="1">
      <alignment horizontal="center" vertical="top"/>
      <protection locked="0"/>
    </xf>
    <xf numFmtId="2" fontId="0" fillId="0" borderId="0" xfId="0" applyNumberFormat="1" applyFill="1" applyBorder="1" applyAlignment="1">
      <alignment horizontal="right" vertical="top"/>
    </xf>
    <xf numFmtId="1" fontId="8" fillId="0" borderId="0" xfId="0" applyNumberFormat="1" applyFont="1" applyFill="1" applyBorder="1" applyAlignment="1">
      <alignment horizontal="center" vertical="top"/>
    </xf>
    <xf numFmtId="167" fontId="8" fillId="0" borderId="0" xfId="0" applyNumberFormat="1" applyFont="1" applyFill="1" applyBorder="1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0" xfId="0" applyFont="1" applyAlignment="1">
      <alignment vertical="top" wrapText="1"/>
    </xf>
    <xf numFmtId="0" fontId="0" fillId="0" borderId="0" xfId="0" applyBorder="1" applyAlignment="1">
      <alignment horizontal="left" vertical="top" wrapText="1"/>
    </xf>
    <xf numFmtId="0" fontId="0" fillId="0" borderId="0" xfId="0" applyFont="1" applyAlignment="1">
      <alignment horizontal="right" vertical="top"/>
    </xf>
    <xf numFmtId="0" fontId="0" fillId="0" borderId="0" xfId="0" applyFont="1" applyBorder="1" applyAlignment="1">
      <alignment horizontal="right" vertical="top"/>
    </xf>
    <xf numFmtId="0" fontId="0" fillId="0" borderId="0" xfId="0" applyBorder="1" applyAlignment="1">
      <alignment horizontal="right" vertical="top" wrapText="1"/>
    </xf>
    <xf numFmtId="0" fontId="0" fillId="0" borderId="0" xfId="0" applyAlignment="1">
      <alignment horizontal="right" vertical="top"/>
    </xf>
    <xf numFmtId="0" fontId="0" fillId="0" borderId="0" xfId="0" applyBorder="1" applyAlignment="1">
      <alignment horizontal="center" vertical="top"/>
    </xf>
    <xf numFmtId="166" fontId="0" fillId="0" borderId="0" xfId="0" applyNumberFormat="1" applyAlignment="1">
      <alignment horizontal="center" vertical="top"/>
    </xf>
    <xf numFmtId="166" fontId="0" fillId="0" borderId="0" xfId="0" applyNumberFormat="1" applyFont="1" applyAlignment="1">
      <alignment horizontal="right" vertical="top"/>
    </xf>
    <xf numFmtId="166" fontId="0" fillId="0" borderId="0" xfId="0" applyNumberFormat="1" applyAlignment="1">
      <alignment horizontal="right" vertical="top"/>
    </xf>
    <xf numFmtId="0" fontId="5" fillId="0" borderId="0" xfId="0" applyFont="1" applyAlignment="1">
      <alignment horizontal="right" vertical="top"/>
    </xf>
    <xf numFmtId="166" fontId="5" fillId="0" borderId="0" xfId="0" applyNumberFormat="1" applyFont="1" applyAlignment="1">
      <alignment horizontal="right" vertical="top"/>
    </xf>
    <xf numFmtId="166" fontId="8" fillId="0" borderId="0" xfId="0" applyNumberFormat="1" applyFont="1" applyFill="1" applyBorder="1" applyAlignment="1">
      <alignment horizontal="center" vertical="top"/>
    </xf>
    <xf numFmtId="0" fontId="0" fillId="0" borderId="0" xfId="0" applyAlignment="1">
      <alignment horizontal="center" vertical="top"/>
    </xf>
    <xf numFmtId="166" fontId="0" fillId="0" borderId="0" xfId="0" applyNumberFormat="1" applyFont="1" applyAlignment="1">
      <alignment vertical="top"/>
    </xf>
    <xf numFmtId="166" fontId="0" fillId="0" borderId="0" xfId="0" applyNumberFormat="1" applyAlignment="1">
      <alignment vertical="top"/>
    </xf>
    <xf numFmtId="166" fontId="4" fillId="0" borderId="0" xfId="9" applyNumberFormat="1" applyAlignment="1">
      <alignment horizontal="center" vertical="top"/>
    </xf>
    <xf numFmtId="0" fontId="26" fillId="3" borderId="0" xfId="0" applyFont="1" applyFill="1" applyBorder="1" applyAlignment="1">
      <alignment horizontal="center" vertical="top" wrapText="1"/>
    </xf>
    <xf numFmtId="0" fontId="26" fillId="3" borderId="0" xfId="0" applyFont="1" applyFill="1" applyBorder="1" applyAlignment="1">
      <alignment horizontal="center" vertical="top"/>
    </xf>
    <xf numFmtId="0" fontId="26" fillId="3" borderId="0" xfId="0" applyFont="1" applyFill="1" applyBorder="1" applyAlignment="1">
      <alignment horizontal="center" vertical="center" wrapText="1"/>
    </xf>
    <xf numFmtId="0" fontId="28" fillId="3" borderId="0" xfId="0" applyFont="1" applyFill="1" applyBorder="1" applyAlignment="1">
      <alignment horizontal="center" vertical="top"/>
    </xf>
    <xf numFmtId="0" fontId="29" fillId="3" borderId="0" xfId="0" applyFont="1" applyFill="1" applyBorder="1" applyAlignment="1">
      <alignment horizontal="center" vertical="top"/>
    </xf>
    <xf numFmtId="168" fontId="0" fillId="0" borderId="0" xfId="0" applyNumberFormat="1" applyFont="1" applyAlignment="1">
      <alignment vertical="top"/>
    </xf>
    <xf numFmtId="168" fontId="26" fillId="0" borderId="0" xfId="0" applyNumberFormat="1" applyFont="1" applyFill="1" applyBorder="1" applyAlignment="1">
      <alignment horizontal="center" vertical="top"/>
    </xf>
    <xf numFmtId="0" fontId="31" fillId="0" borderId="0" xfId="0" applyFont="1"/>
    <xf numFmtId="0" fontId="6" fillId="0" borderId="0" xfId="1" applyAlignment="1" applyProtection="1">
      <alignment horizontal="left" vertical="top"/>
    </xf>
    <xf numFmtId="168" fontId="0" fillId="0" borderId="0" xfId="0" applyNumberFormat="1" applyAlignment="1">
      <alignment horizontal="center" vertical="top"/>
    </xf>
    <xf numFmtId="2" fontId="0" fillId="0" borderId="0" xfId="0" applyNumberFormat="1" applyAlignment="1">
      <alignment horizontal="center" vertical="top"/>
    </xf>
    <xf numFmtId="169" fontId="0" fillId="0" borderId="0" xfId="0" applyNumberFormat="1" applyFont="1" applyAlignment="1">
      <alignment vertical="top"/>
    </xf>
    <xf numFmtId="1" fontId="0" fillId="0" borderId="0" xfId="0" applyNumberFormat="1" applyFont="1" applyAlignment="1">
      <alignment vertical="top"/>
    </xf>
    <xf numFmtId="170" fontId="0" fillId="0" borderId="0" xfId="0" applyNumberFormat="1" applyFont="1" applyAlignment="1">
      <alignment vertical="top"/>
    </xf>
    <xf numFmtId="2" fontId="0" fillId="0" borderId="0" xfId="0" applyNumberFormat="1" applyFont="1" applyAlignment="1">
      <alignment vertical="top"/>
    </xf>
    <xf numFmtId="43" fontId="0" fillId="0" borderId="0" xfId="8" applyFont="1" applyAlignment="1">
      <alignment vertical="top"/>
    </xf>
    <xf numFmtId="1" fontId="0" fillId="0" borderId="0" xfId="0" applyNumberFormat="1"/>
    <xf numFmtId="1" fontId="0" fillId="0" borderId="0" xfId="0" applyNumberFormat="1" applyAlignment="1">
      <alignment horizontal="center" vertical="top"/>
    </xf>
    <xf numFmtId="166" fontId="3" fillId="0" borderId="0" xfId="10" applyNumberFormat="1"/>
    <xf numFmtId="2" fontId="3" fillId="0" borderId="0" xfId="10" applyNumberFormat="1"/>
    <xf numFmtId="171" fontId="0" fillId="0" borderId="0" xfId="0" applyNumberFormat="1" applyAlignment="1">
      <alignment vertical="top"/>
    </xf>
    <xf numFmtId="171" fontId="0" fillId="0" borderId="0" xfId="0" applyNumberFormat="1" applyFill="1" applyBorder="1" applyAlignment="1">
      <alignment horizontal="right" vertical="top"/>
    </xf>
    <xf numFmtId="171" fontId="8" fillId="0" borderId="0" xfId="0" applyNumberFormat="1" applyFont="1" applyBorder="1" applyAlignment="1" applyProtection="1">
      <alignment horizontal="center" vertical="top"/>
      <protection locked="0"/>
    </xf>
    <xf numFmtId="1" fontId="0" fillId="0" borderId="0" xfId="0" applyNumberFormat="1" applyFill="1" applyBorder="1" applyAlignment="1">
      <alignment horizontal="right" vertical="top"/>
    </xf>
    <xf numFmtId="1" fontId="8" fillId="0" borderId="0" xfId="0" applyNumberFormat="1" applyFont="1" applyBorder="1" applyAlignment="1" applyProtection="1">
      <alignment horizontal="center" vertical="top"/>
      <protection locked="0"/>
    </xf>
    <xf numFmtId="0" fontId="21" fillId="0" borderId="0" xfId="0" applyFont="1" applyAlignment="1">
      <alignment horizontal="right" vertical="top"/>
    </xf>
    <xf numFmtId="166" fontId="2" fillId="0" borderId="0" xfId="10" applyNumberFormat="1" applyFont="1"/>
    <xf numFmtId="166" fontId="34" fillId="0" borderId="0" xfId="10" applyNumberFormat="1" applyFont="1"/>
    <xf numFmtId="166" fontId="24" fillId="0" borderId="0" xfId="10" applyNumberFormat="1" applyFont="1"/>
    <xf numFmtId="166" fontId="33" fillId="0" borderId="0" xfId="10" applyNumberFormat="1" applyFont="1"/>
    <xf numFmtId="166" fontId="35" fillId="0" borderId="0" xfId="10" applyNumberFormat="1" applyFont="1"/>
    <xf numFmtId="43" fontId="0" fillId="0" borderId="0" xfId="8" applyFont="1"/>
    <xf numFmtId="0" fontId="36" fillId="0" borderId="0" xfId="0" applyFont="1"/>
    <xf numFmtId="0" fontId="38" fillId="0" borderId="0" xfId="0" applyFont="1" applyBorder="1" applyAlignment="1">
      <alignment vertical="top"/>
    </xf>
    <xf numFmtId="0" fontId="8" fillId="0" borderId="0" xfId="1" applyFont="1" applyAlignment="1" applyProtection="1"/>
    <xf numFmtId="0" fontId="0" fillId="2" borderId="0" xfId="0" applyFill="1"/>
    <xf numFmtId="0" fontId="0" fillId="0" borderId="1" xfId="0" applyBorder="1"/>
    <xf numFmtId="0" fontId="0" fillId="0" borderId="0" xfId="0" applyFill="1" applyBorder="1" applyAlignment="1">
      <alignment horizontal="center" vertical="top"/>
    </xf>
    <xf numFmtId="0" fontId="8" fillId="0" borderId="0" xfId="0" applyNumberFormat="1" applyFont="1" applyFill="1" applyBorder="1" applyAlignment="1" applyProtection="1">
      <alignment horizontal="left" vertical="top"/>
      <protection locked="0"/>
    </xf>
    <xf numFmtId="0" fontId="8" fillId="0" borderId="0" xfId="0" applyNumberFormat="1" applyFont="1" applyBorder="1" applyAlignment="1" applyProtection="1">
      <alignment horizontal="left" vertical="top"/>
      <protection locked="0"/>
    </xf>
    <xf numFmtId="166" fontId="0" fillId="7" borderId="0" xfId="0" applyNumberFormat="1" applyFill="1"/>
    <xf numFmtId="166" fontId="5" fillId="0" borderId="0" xfId="0" applyNumberFormat="1" applyFont="1"/>
    <xf numFmtId="2" fontId="5" fillId="0" borderId="0" xfId="0" applyNumberFormat="1" applyFont="1" applyAlignment="1">
      <alignment vertical="top"/>
    </xf>
    <xf numFmtId="166" fontId="1" fillId="0" borderId="0" xfId="10" applyNumberFormat="1" applyFont="1"/>
    <xf numFmtId="1" fontId="0" fillId="0" borderId="0" xfId="0" quotePrefix="1" applyNumberFormat="1" applyFill="1" applyBorder="1" applyAlignment="1">
      <alignment horizontal="center" vertical="top"/>
    </xf>
    <xf numFmtId="0" fontId="0" fillId="0" borderId="0" xfId="0" quotePrefix="1" applyFont="1" applyBorder="1" applyAlignment="1">
      <alignment horizontal="center" vertical="top"/>
    </xf>
    <xf numFmtId="9" fontId="0" fillId="0" borderId="0" xfId="0" applyNumberFormat="1"/>
    <xf numFmtId="168" fontId="0" fillId="0" borderId="0" xfId="0" applyNumberFormat="1" applyBorder="1" applyAlignment="1">
      <alignment horizontal="center" vertical="top"/>
    </xf>
    <xf numFmtId="1" fontId="0" fillId="0" borderId="0" xfId="0" applyNumberFormat="1" applyBorder="1" applyAlignment="1">
      <alignment horizontal="center" vertical="top"/>
    </xf>
    <xf numFmtId="20" fontId="0" fillId="0" borderId="0" xfId="0" applyNumberFormat="1" applyBorder="1" applyAlignment="1">
      <alignment horizontal="center" vertical="top"/>
    </xf>
    <xf numFmtId="0" fontId="39" fillId="0" borderId="0" xfId="0" applyFont="1"/>
    <xf numFmtId="0" fontId="40" fillId="0" borderId="0" xfId="0" applyFont="1"/>
    <xf numFmtId="166" fontId="0" fillId="0" borderId="0" xfId="0" applyNumberFormat="1" applyFont="1"/>
    <xf numFmtId="0" fontId="0" fillId="0" borderId="0" xfId="0" applyFont="1" applyAlignment="1">
      <alignment horizontal="right"/>
    </xf>
    <xf numFmtId="0" fontId="0" fillId="0" borderId="0" xfId="0" applyFont="1" applyBorder="1" applyAlignment="1">
      <alignment horizontal="right"/>
    </xf>
    <xf numFmtId="2" fontId="0" fillId="0" borderId="0" xfId="0" applyNumberFormat="1" applyAlignment="1">
      <alignment vertical="top"/>
    </xf>
    <xf numFmtId="1" fontId="0" fillId="0" borderId="0" xfId="0" applyNumberFormat="1" applyFont="1" applyAlignment="1">
      <alignment horizontal="right" vertical="top"/>
    </xf>
    <xf numFmtId="0" fontId="5" fillId="0" borderId="1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top" wrapText="1"/>
    </xf>
    <xf numFmtId="0" fontId="37" fillId="2" borderId="0" xfId="0" applyFont="1" applyFill="1" applyAlignment="1">
      <alignment horizontal="center" vertical="top" wrapText="1"/>
    </xf>
    <xf numFmtId="0" fontId="36" fillId="0" borderId="0" xfId="0" applyFont="1" applyAlignment="1">
      <alignment horizontal="center"/>
    </xf>
    <xf numFmtId="0" fontId="36" fillId="6" borderId="0" xfId="0" applyFont="1" applyFill="1"/>
    <xf numFmtId="0" fontId="42" fillId="2" borderId="0" xfId="0" applyFont="1" applyFill="1"/>
    <xf numFmtId="0" fontId="36" fillId="0" borderId="0" xfId="0" applyFont="1" applyFill="1"/>
    <xf numFmtId="170" fontId="0" fillId="0" borderId="0" xfId="0" applyNumberFormat="1" applyBorder="1" applyAlignment="1">
      <alignment horizontal="right"/>
    </xf>
    <xf numFmtId="0" fontId="6" fillId="0" borderId="0" xfId="1" applyAlignment="1" applyProtection="1">
      <alignment vertical="center" wrapText="1"/>
    </xf>
    <xf numFmtId="0" fontId="43" fillId="0" borderId="0" xfId="0" applyFont="1"/>
    <xf numFmtId="0" fontId="45" fillId="0" borderId="0" xfId="0" applyFont="1"/>
    <xf numFmtId="0" fontId="36" fillId="5" borderId="0" xfId="0" applyFont="1" applyFill="1"/>
    <xf numFmtId="0" fontId="36" fillId="5" borderId="0" xfId="0" applyFont="1" applyFill="1" applyAlignment="1">
      <alignment horizontal="center"/>
    </xf>
    <xf numFmtId="0" fontId="36" fillId="5" borderId="0" xfId="0" applyFont="1" applyFill="1" applyBorder="1" applyAlignment="1">
      <alignment vertical="center"/>
    </xf>
    <xf numFmtId="0" fontId="46" fillId="7" borderId="0" xfId="0" applyFont="1" applyFill="1" applyAlignment="1">
      <alignment horizontal="center" vertical="center"/>
    </xf>
    <xf numFmtId="0" fontId="46" fillId="7" borderId="0" xfId="0" applyFont="1" applyFill="1" applyAlignment="1">
      <alignment vertical="center"/>
    </xf>
    <xf numFmtId="0" fontId="47" fillId="0" borderId="0" xfId="0" applyFont="1"/>
    <xf numFmtId="0" fontId="6" fillId="0" borderId="2" xfId="1" applyBorder="1" applyAlignment="1" applyProtection="1">
      <alignment horizontal="center" vertical="center"/>
    </xf>
    <xf numFmtId="0" fontId="6" fillId="0" borderId="0" xfId="1" applyBorder="1" applyAlignment="1" applyProtection="1">
      <alignment horizontal="center" vertical="center"/>
    </xf>
    <xf numFmtId="0" fontId="48" fillId="0" borderId="0" xfId="0" applyFont="1"/>
    <xf numFmtId="166" fontId="10" fillId="0" borderId="0" xfId="0" applyNumberFormat="1" applyFont="1"/>
    <xf numFmtId="166" fontId="49" fillId="0" borderId="0" xfId="0" applyNumberFormat="1" applyFont="1"/>
    <xf numFmtId="0" fontId="50" fillId="0" borderId="0" xfId="0" applyFont="1" applyAlignment="1">
      <alignment horizontal="center"/>
    </xf>
    <xf numFmtId="166" fontId="50" fillId="0" borderId="0" xfId="0" applyNumberFormat="1" applyFont="1" applyAlignment="1">
      <alignment horizontal="center"/>
    </xf>
    <xf numFmtId="0" fontId="0" fillId="2" borderId="0" xfId="0" applyFill="1" applyBorder="1" applyAlignment="1">
      <alignment vertical="center"/>
    </xf>
    <xf numFmtId="0" fontId="28" fillId="0" borderId="3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8" fillId="0" borderId="0" xfId="0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26" fillId="2" borderId="0" xfId="0" applyFont="1" applyFill="1" applyAlignment="1">
      <alignment horizontal="center" vertical="center" wrapText="1"/>
    </xf>
    <xf numFmtId="0" fontId="26" fillId="7" borderId="0" xfId="0" applyFont="1" applyFill="1" applyAlignment="1">
      <alignment vertical="center"/>
    </xf>
    <xf numFmtId="0" fontId="8" fillId="2" borderId="0" xfId="0" applyNumberFormat="1" applyFont="1" applyFill="1" applyBorder="1" applyAlignment="1" applyProtection="1">
      <alignment horizontal="right"/>
      <protection locked="0"/>
    </xf>
    <xf numFmtId="172" fontId="0" fillId="0" borderId="0" xfId="0" applyNumberFormat="1" applyBorder="1" applyAlignment="1">
      <alignment wrapText="1"/>
    </xf>
    <xf numFmtId="0" fontId="0" fillId="0" borderId="0" xfId="0" applyBorder="1" applyAlignment="1">
      <alignment wrapText="1"/>
    </xf>
    <xf numFmtId="1" fontId="0" fillId="0" borderId="0" xfId="0" applyNumberFormat="1" applyFont="1" applyBorder="1" applyAlignment="1"/>
    <xf numFmtId="166" fontId="0" fillId="0" borderId="0" xfId="0" applyNumberFormat="1" applyBorder="1" applyAlignment="1"/>
    <xf numFmtId="2" fontId="0" fillId="0" borderId="0" xfId="0" applyNumberFormat="1" applyFill="1" applyBorder="1" applyAlignment="1"/>
    <xf numFmtId="1" fontId="0" fillId="0" borderId="0" xfId="0" applyNumberFormat="1" applyBorder="1" applyAlignment="1"/>
    <xf numFmtId="166" fontId="0" fillId="0" borderId="0" xfId="0" applyNumberFormat="1" applyAlignment="1"/>
    <xf numFmtId="1" fontId="0" fillId="0" borderId="0" xfId="0" applyNumberFormat="1" applyFill="1" applyBorder="1" applyAlignment="1"/>
    <xf numFmtId="1" fontId="0" fillId="0" borderId="0" xfId="0" applyNumberFormat="1" applyAlignment="1"/>
    <xf numFmtId="1" fontId="0" fillId="0" borderId="0" xfId="0" applyNumberFormat="1" applyAlignment="1">
      <alignment horizontal="right"/>
    </xf>
    <xf numFmtId="170" fontId="0" fillId="0" borderId="0" xfId="0" applyNumberFormat="1"/>
    <xf numFmtId="1" fontId="0" fillId="0" borderId="0" xfId="0" applyNumberFormat="1" applyFill="1" applyBorder="1" applyAlignment="1">
      <alignment horizontal="right"/>
    </xf>
    <xf numFmtId="170" fontId="0" fillId="0" borderId="0" xfId="0" applyNumberFormat="1" applyAlignment="1"/>
    <xf numFmtId="1" fontId="0" fillId="0" borderId="0" xfId="0" applyNumberFormat="1" applyFont="1"/>
    <xf numFmtId="0" fontId="5" fillId="0" borderId="0" xfId="0" applyFont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4" fontId="0" fillId="0" borderId="0" xfId="0" applyNumberFormat="1"/>
    <xf numFmtId="166" fontId="3" fillId="0" borderId="0" xfId="10" applyNumberFormat="1" applyFill="1"/>
    <xf numFmtId="166" fontId="24" fillId="0" borderId="0" xfId="10" applyNumberFormat="1" applyFont="1" applyFill="1"/>
    <xf numFmtId="166" fontId="34" fillId="0" borderId="0" xfId="10" applyNumberFormat="1" applyFont="1" applyFill="1"/>
    <xf numFmtId="166" fontId="35" fillId="0" borderId="0" xfId="10" applyNumberFormat="1" applyFont="1" applyFill="1"/>
    <xf numFmtId="166" fontId="33" fillId="0" borderId="0" xfId="10" applyNumberFormat="1" applyFont="1" applyFill="1"/>
    <xf numFmtId="0" fontId="0" fillId="0" borderId="0" xfId="0" applyFont="1" applyFill="1" applyAlignment="1">
      <alignment vertical="top"/>
    </xf>
    <xf numFmtId="0" fontId="0" fillId="0" borderId="0" xfId="0" applyFill="1" applyAlignment="1">
      <alignment vertical="top"/>
    </xf>
    <xf numFmtId="0" fontId="7" fillId="0" borderId="0" xfId="0" applyFont="1" applyFill="1" applyAlignment="1">
      <alignment vertical="top"/>
    </xf>
    <xf numFmtId="0" fontId="26" fillId="0" borderId="0" xfId="0" applyFont="1" applyFill="1" applyBorder="1" applyAlignment="1">
      <alignment horizontal="center" vertical="top" wrapText="1"/>
    </xf>
    <xf numFmtId="0" fontId="26" fillId="0" borderId="0" xfId="0" applyFont="1" applyFill="1" applyBorder="1" applyAlignment="1">
      <alignment horizontal="center" vertical="top"/>
    </xf>
    <xf numFmtId="0" fontId="32" fillId="0" borderId="0" xfId="0" applyFont="1" applyFill="1" applyAlignment="1">
      <alignment vertical="center"/>
    </xf>
    <xf numFmtId="0" fontId="31" fillId="0" borderId="0" xfId="0" applyFont="1" applyFill="1"/>
    <xf numFmtId="0" fontId="26" fillId="0" borderId="0" xfId="0" applyFont="1" applyFill="1" applyBorder="1" applyAlignment="1">
      <alignment horizontal="center" vertical="center" wrapText="1"/>
    </xf>
    <xf numFmtId="168" fontId="26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top"/>
    </xf>
    <xf numFmtId="168" fontId="27" fillId="0" borderId="0" xfId="0" applyNumberFormat="1" applyFont="1" applyFill="1" applyBorder="1" applyAlignment="1">
      <alignment horizontal="center" vertical="center" wrapText="1"/>
    </xf>
    <xf numFmtId="168" fontId="27" fillId="0" borderId="0" xfId="0" applyNumberFormat="1" applyFont="1" applyFill="1" applyBorder="1" applyAlignment="1">
      <alignment horizontal="center" vertical="top"/>
    </xf>
    <xf numFmtId="0" fontId="27" fillId="0" borderId="0" xfId="0" applyFont="1" applyFill="1" applyBorder="1" applyAlignment="1">
      <alignment horizontal="center" vertical="top"/>
    </xf>
    <xf numFmtId="166" fontId="0" fillId="0" borderId="0" xfId="0" applyNumberFormat="1" applyFont="1" applyFill="1" applyAlignment="1">
      <alignment vertical="top"/>
    </xf>
    <xf numFmtId="166" fontId="0" fillId="0" borderId="0" xfId="0" applyNumberFormat="1" applyFill="1" applyAlignment="1">
      <alignment vertical="top"/>
    </xf>
    <xf numFmtId="0" fontId="28" fillId="0" borderId="0" xfId="0" applyFont="1" applyFill="1" applyBorder="1" applyAlignment="1">
      <alignment horizontal="center" vertical="top"/>
    </xf>
    <xf numFmtId="168" fontId="28" fillId="0" borderId="0" xfId="0" applyNumberFormat="1" applyFont="1" applyFill="1" applyBorder="1" applyAlignment="1">
      <alignment horizontal="center" vertical="top"/>
    </xf>
    <xf numFmtId="168" fontId="30" fillId="0" borderId="0" xfId="0" applyNumberFormat="1" applyFont="1" applyFill="1" applyBorder="1" applyAlignment="1">
      <alignment horizontal="center" vertical="top"/>
    </xf>
    <xf numFmtId="0" fontId="29" fillId="0" borderId="0" xfId="0" applyFont="1" applyFill="1" applyBorder="1" applyAlignment="1">
      <alignment horizontal="center" vertical="top"/>
    </xf>
    <xf numFmtId="168" fontId="29" fillId="0" borderId="0" xfId="0" applyNumberFormat="1" applyFont="1" applyFill="1" applyBorder="1" applyAlignment="1">
      <alignment horizontal="center" vertical="top"/>
    </xf>
    <xf numFmtId="166" fontId="29" fillId="0" borderId="0" xfId="0" applyNumberFormat="1" applyFont="1" applyFill="1" applyBorder="1" applyAlignment="1">
      <alignment horizontal="center" vertical="top"/>
    </xf>
    <xf numFmtId="168" fontId="0" fillId="0" borderId="0" xfId="0" applyNumberFormat="1" applyFont="1" applyFill="1" applyAlignment="1">
      <alignment vertical="top"/>
    </xf>
    <xf numFmtId="2" fontId="0" fillId="0" borderId="0" xfId="0" applyNumberFormat="1" applyAlignment="1">
      <alignment horizontal="right" vertical="top"/>
    </xf>
    <xf numFmtId="2" fontId="0" fillId="0" borderId="0" xfId="0" applyNumberFormat="1" applyFont="1" applyAlignment="1">
      <alignment horizontal="right" vertical="top"/>
    </xf>
    <xf numFmtId="2" fontId="0" fillId="0" borderId="0" xfId="0" applyNumberFormat="1" applyFont="1" applyFill="1" applyAlignment="1">
      <alignment horizontal="right" vertical="top"/>
    </xf>
    <xf numFmtId="2" fontId="0" fillId="0" borderId="0" xfId="0" applyNumberFormat="1" applyFill="1" applyAlignment="1">
      <alignment horizontal="right" vertical="top"/>
    </xf>
    <xf numFmtId="2" fontId="26" fillId="3" borderId="0" xfId="0" applyNumberFormat="1" applyFont="1" applyFill="1" applyBorder="1" applyAlignment="1">
      <alignment horizontal="right" vertical="top" wrapText="1"/>
    </xf>
    <xf numFmtId="2" fontId="26" fillId="0" borderId="0" xfId="0" applyNumberFormat="1" applyFont="1" applyFill="1" applyBorder="1" applyAlignment="1">
      <alignment horizontal="right" vertical="top" wrapText="1"/>
    </xf>
    <xf numFmtId="2" fontId="26" fillId="4" borderId="0" xfId="0" applyNumberFormat="1" applyFont="1" applyFill="1" applyBorder="1" applyAlignment="1">
      <alignment horizontal="right" vertical="center" wrapText="1"/>
    </xf>
    <xf numFmtId="2" fontId="26" fillId="0" borderId="0" xfId="0" applyNumberFormat="1" applyFont="1" applyFill="1" applyBorder="1" applyAlignment="1">
      <alignment horizontal="right" vertical="center" wrapText="1"/>
    </xf>
    <xf numFmtId="2" fontId="9" fillId="4" borderId="0" xfId="0" applyNumberFormat="1" applyFont="1" applyFill="1" applyBorder="1" applyAlignment="1">
      <alignment horizontal="right" vertical="center" wrapText="1"/>
    </xf>
    <xf numFmtId="2" fontId="9" fillId="0" borderId="0" xfId="0" applyNumberFormat="1" applyFont="1" applyFill="1" applyBorder="1" applyAlignment="1">
      <alignment horizontal="right" vertical="center" wrapText="1"/>
    </xf>
    <xf numFmtId="2" fontId="26" fillId="3" borderId="0" xfId="0" applyNumberFormat="1" applyFont="1" applyFill="1" applyBorder="1" applyAlignment="1">
      <alignment horizontal="right" vertical="center" wrapText="1"/>
    </xf>
    <xf numFmtId="166" fontId="26" fillId="0" borderId="0" xfId="0" applyNumberFormat="1" applyFont="1" applyFill="1" applyBorder="1" applyAlignment="1">
      <alignment horizontal="center" vertical="top" wrapText="1"/>
    </xf>
    <xf numFmtId="166" fontId="26" fillId="0" borderId="0" xfId="0" applyNumberFormat="1" applyFont="1" applyFill="1" applyBorder="1" applyAlignment="1">
      <alignment horizontal="center" vertical="center" wrapText="1"/>
    </xf>
    <xf numFmtId="166" fontId="27" fillId="0" borderId="0" xfId="0" applyNumberFormat="1" applyFont="1" applyFill="1" applyBorder="1" applyAlignment="1">
      <alignment horizontal="center" vertical="center" wrapText="1"/>
    </xf>
    <xf numFmtId="166" fontId="8" fillId="0" borderId="0" xfId="0" applyNumberFormat="1" applyFont="1" applyAlignment="1">
      <alignment horizontal="center" vertical="top"/>
    </xf>
    <xf numFmtId="2" fontId="8" fillId="0" borderId="0" xfId="0" applyNumberFormat="1" applyFont="1" applyAlignment="1">
      <alignment horizontal="right" vertical="top"/>
    </xf>
    <xf numFmtId="166" fontId="8" fillId="0" borderId="0" xfId="0" applyNumberFormat="1" applyFont="1" applyAlignment="1">
      <alignment vertical="top"/>
    </xf>
    <xf numFmtId="0" fontId="8" fillId="0" borderId="0" xfId="0" applyFont="1" applyAlignment="1">
      <alignment horizontal="center" vertical="top"/>
    </xf>
    <xf numFmtId="0" fontId="8" fillId="0" borderId="0" xfId="0" applyFont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top"/>
    </xf>
    <xf numFmtId="166" fontId="8" fillId="0" borderId="0" xfId="0" applyNumberFormat="1" applyFont="1" applyFill="1" applyAlignment="1">
      <alignment vertical="top"/>
    </xf>
    <xf numFmtId="2" fontId="9" fillId="3" borderId="0" xfId="0" applyNumberFormat="1" applyFont="1" applyFill="1" applyBorder="1" applyAlignment="1">
      <alignment horizontal="right" vertical="top" wrapText="1"/>
    </xf>
    <xf numFmtId="166" fontId="9" fillId="0" borderId="0" xfId="0" applyNumberFormat="1" applyFont="1" applyFill="1" applyBorder="1" applyAlignment="1">
      <alignment horizontal="center" vertical="top" wrapText="1"/>
    </xf>
    <xf numFmtId="166" fontId="9" fillId="0" borderId="0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0" xfId="1" applyFill="1" applyAlignment="1" applyProtection="1">
      <alignment horizontal="center" vertical="center"/>
    </xf>
    <xf numFmtId="0" fontId="6" fillId="0" borderId="0" xfId="1" applyFill="1" applyAlignment="1" applyProtection="1">
      <alignment horizontal="center"/>
    </xf>
    <xf numFmtId="0" fontId="0" fillId="2" borderId="0" xfId="0" applyFill="1" applyAlignment="1">
      <alignment horizontal="left"/>
    </xf>
    <xf numFmtId="0" fontId="0" fillId="2" borderId="0" xfId="0" applyFill="1" applyAlignment="1">
      <alignment horizontal="left" vertical="top"/>
    </xf>
    <xf numFmtId="0" fontId="16" fillId="0" borderId="0" xfId="0" applyFont="1"/>
    <xf numFmtId="0" fontId="16" fillId="0" borderId="0" xfId="0" applyFont="1" applyAlignment="1">
      <alignment vertical="center"/>
    </xf>
    <xf numFmtId="0" fontId="16" fillId="2" borderId="0" xfId="0" applyFont="1" applyFill="1" applyAlignment="1">
      <alignment horizontal="center"/>
    </xf>
    <xf numFmtId="0" fontId="16" fillId="0" borderId="0" xfId="0" applyFont="1" applyBorder="1" applyAlignment="1">
      <alignment vertical="center"/>
    </xf>
    <xf numFmtId="0" fontId="16" fillId="0" borderId="0" xfId="0" applyFont="1" applyAlignment="1">
      <alignment horizontal="center"/>
    </xf>
    <xf numFmtId="0" fontId="16" fillId="0" borderId="0" xfId="0" applyFont="1" applyFill="1" applyBorder="1" applyAlignment="1">
      <alignment vertical="center"/>
    </xf>
    <xf numFmtId="0" fontId="5" fillId="6" borderId="0" xfId="0" applyFont="1" applyFill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1" applyFont="1" applyBorder="1" applyAlignment="1" applyProtection="1">
      <alignment horizontal="left"/>
    </xf>
  </cellXfs>
  <cellStyles count="11">
    <cellStyle name="Comma" xfId="8" builtinId="3"/>
    <cellStyle name="Hyperlink" xfId="1" builtinId="8"/>
    <cellStyle name="Hyperlink 2" xfId="3"/>
    <cellStyle name="Hyperlink 3" xfId="6"/>
    <cellStyle name="Normal" xfId="0" builtinId="0"/>
    <cellStyle name="Normal 2" xfId="4"/>
    <cellStyle name="Normal 3" xfId="2"/>
    <cellStyle name="Normal 4" xfId="5"/>
    <cellStyle name="Normal 5" xfId="7"/>
    <cellStyle name="Normal 6" xfId="9"/>
    <cellStyle name="Normal 7" xfId="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 human N=11 50mg metoprolol tartrate solution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705336832895889"/>
          <c:y val="0.17171296296296296"/>
          <c:w val="0.77516119860017496"/>
          <c:h val="0.62271617089530473"/>
        </c:manualLayout>
      </c:layout>
      <c:scatterChart>
        <c:scatterStyle val="lineMarker"/>
        <c:varyColors val="0"/>
        <c:ser>
          <c:idx val="2"/>
          <c:order val="0"/>
          <c:tx>
            <c:v>10mg iv Ragadh1980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'Mean Cp_PK'!$BF$45:$BF$55</c:f>
              <c:numCache>
                <c:formatCode>0.00</c:formatCode>
                <c:ptCount val="11"/>
                <c:pt idx="0">
                  <c:v>8.3333333333333329E-2</c:v>
                </c:pt>
                <c:pt idx="1">
                  <c:v>0.16666666666666666</c:v>
                </c:pt>
                <c:pt idx="2">
                  <c:v>0.25</c:v>
                </c:pt>
                <c:pt idx="3">
                  <c:v>0.33333333333333331</c:v>
                </c:pt>
                <c:pt idx="4">
                  <c:v>0.5</c:v>
                </c:pt>
                <c:pt idx="5">
                  <c:v>0.66666666666666663</c:v>
                </c:pt>
                <c:pt idx="6">
                  <c:v>0.91666666666666663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8</c:v>
                </c:pt>
              </c:numCache>
            </c:numRef>
          </c:xVal>
          <c:yVal>
            <c:numRef>
              <c:f>'Mean Cp_PK'!$BG$45:$BG$55</c:f>
              <c:numCache>
                <c:formatCode>0.0</c:formatCode>
                <c:ptCount val="11"/>
                <c:pt idx="0">
                  <c:v>46.260200000000005</c:v>
                </c:pt>
                <c:pt idx="1">
                  <c:v>39.842600000000004</c:v>
                </c:pt>
                <c:pt idx="2">
                  <c:v>36.901200000000003</c:v>
                </c:pt>
                <c:pt idx="3">
                  <c:v>32.622800000000005</c:v>
                </c:pt>
                <c:pt idx="4">
                  <c:v>26.178460000000005</c:v>
                </c:pt>
                <c:pt idx="5">
                  <c:v>21.47222</c:v>
                </c:pt>
                <c:pt idx="6">
                  <c:v>18.798220000000001</c:v>
                </c:pt>
                <c:pt idx="7">
                  <c:v>13.423480000000001</c:v>
                </c:pt>
                <c:pt idx="8">
                  <c:v>11.17732</c:v>
                </c:pt>
                <c:pt idx="9">
                  <c:v>7.19306</c:v>
                </c:pt>
                <c:pt idx="10">
                  <c:v>4.5992800000000003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'Mean Cp_PK'!$B$10</c:f>
              <c:strCache>
                <c:ptCount val="1"/>
                <c:pt idx="0">
                  <c:v>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'Mean Cp_PK'!$B$45:$B$61</c:f>
              <c:numCache>
                <c:formatCode>0.00</c:formatCode>
                <c:ptCount val="17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10</c:v>
                </c:pt>
                <c:pt idx="12">
                  <c:v>12</c:v>
                </c:pt>
                <c:pt idx="13">
                  <c:v>14</c:v>
                </c:pt>
                <c:pt idx="14">
                  <c:v>24</c:v>
                </c:pt>
                <c:pt idx="15">
                  <c:v>28</c:v>
                </c:pt>
                <c:pt idx="16">
                  <c:v>32</c:v>
                </c:pt>
              </c:numCache>
            </c:numRef>
          </c:xVal>
          <c:yVal>
            <c:numRef>
              <c:f>'Mean Cp_PK'!$C$45:$C$61</c:f>
              <c:numCache>
                <c:formatCode>0.0</c:formatCode>
                <c:ptCount val="17"/>
                <c:pt idx="0">
                  <c:v>1.8423860000000001</c:v>
                </c:pt>
                <c:pt idx="1">
                  <c:v>3.5029400000000002</c:v>
                </c:pt>
                <c:pt idx="2">
                  <c:v>7.3802400000000015</c:v>
                </c:pt>
                <c:pt idx="3">
                  <c:v>11.417980000000002</c:v>
                </c:pt>
                <c:pt idx="4">
                  <c:v>18.985400000000002</c:v>
                </c:pt>
                <c:pt idx="5">
                  <c:v>35.296800000000005</c:v>
                </c:pt>
                <c:pt idx="6">
                  <c:v>46.527600000000007</c:v>
                </c:pt>
                <c:pt idx="7">
                  <c:v>49.469000000000008</c:v>
                </c:pt>
                <c:pt idx="8">
                  <c:v>49.469000000000008</c:v>
                </c:pt>
                <c:pt idx="9">
                  <c:v>48.399400000000007</c:v>
                </c:pt>
                <c:pt idx="10">
                  <c:v>39.842600000000004</c:v>
                </c:pt>
                <c:pt idx="11">
                  <c:v>29.681400000000004</c:v>
                </c:pt>
                <c:pt idx="12">
                  <c:v>23.771860000000004</c:v>
                </c:pt>
                <c:pt idx="13">
                  <c:v>16.765980000000003</c:v>
                </c:pt>
                <c:pt idx="14">
                  <c:v>6.2571599999999998</c:v>
                </c:pt>
                <c:pt idx="15">
                  <c:v>4.7864599999999999</c:v>
                </c:pt>
                <c:pt idx="16">
                  <c:v>3.3157600000000005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'Mean Cp_PK'!$F$10</c:f>
              <c:strCache>
                <c:ptCount val="1"/>
                <c:pt idx="0">
                  <c:v>B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'Mean Cp_PK'!$F$45:$F$61</c:f>
              <c:numCache>
                <c:formatCode>0.00</c:formatCode>
                <c:ptCount val="17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10</c:v>
                </c:pt>
                <c:pt idx="12">
                  <c:v>12</c:v>
                </c:pt>
                <c:pt idx="13">
                  <c:v>14</c:v>
                </c:pt>
                <c:pt idx="14">
                  <c:v>24</c:v>
                </c:pt>
                <c:pt idx="15">
                  <c:v>28</c:v>
                </c:pt>
                <c:pt idx="16">
                  <c:v>32</c:v>
                </c:pt>
              </c:numCache>
            </c:numRef>
          </c:xVal>
          <c:yVal>
            <c:numRef>
              <c:f>'Mean Cp_PK'!$G$45:$G$61</c:f>
              <c:numCache>
                <c:formatCode>0.0</c:formatCode>
                <c:ptCount val="17"/>
                <c:pt idx="0">
                  <c:v>1.6578800000000002</c:v>
                </c:pt>
                <c:pt idx="1">
                  <c:v>3.8773000000000004</c:v>
                </c:pt>
                <c:pt idx="2">
                  <c:v>5.5351800000000004</c:v>
                </c:pt>
                <c:pt idx="3">
                  <c:v>7.5406800000000009</c:v>
                </c:pt>
                <c:pt idx="4">
                  <c:v>10.134460000000001</c:v>
                </c:pt>
                <c:pt idx="5">
                  <c:v>14.011760000000001</c:v>
                </c:pt>
                <c:pt idx="6">
                  <c:v>19.707380000000004</c:v>
                </c:pt>
                <c:pt idx="7">
                  <c:v>22.835960000000004</c:v>
                </c:pt>
                <c:pt idx="8">
                  <c:v>25.804100000000002</c:v>
                </c:pt>
                <c:pt idx="9">
                  <c:v>27.274800000000003</c:v>
                </c:pt>
                <c:pt idx="10">
                  <c:v>28.611800000000002</c:v>
                </c:pt>
                <c:pt idx="11">
                  <c:v>31.285800000000002</c:v>
                </c:pt>
                <c:pt idx="12">
                  <c:v>32.622800000000005</c:v>
                </c:pt>
                <c:pt idx="13">
                  <c:v>33.157600000000002</c:v>
                </c:pt>
                <c:pt idx="14">
                  <c:v>14.198940000000002</c:v>
                </c:pt>
                <c:pt idx="15">
                  <c:v>8.6637599999999999</c:v>
                </c:pt>
                <c:pt idx="16">
                  <c:v>4.7864599999999999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'Mean Cp_PK'!$J$10</c:f>
              <c:strCache>
                <c:ptCount val="1"/>
                <c:pt idx="0">
                  <c:v>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'Mean Cp_PK'!$J$45:$J$61</c:f>
              <c:numCache>
                <c:formatCode>0.00</c:formatCode>
                <c:ptCount val="17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10</c:v>
                </c:pt>
                <c:pt idx="12">
                  <c:v>12</c:v>
                </c:pt>
                <c:pt idx="13">
                  <c:v>14</c:v>
                </c:pt>
                <c:pt idx="14">
                  <c:v>24</c:v>
                </c:pt>
                <c:pt idx="15">
                  <c:v>28</c:v>
                </c:pt>
                <c:pt idx="16">
                  <c:v>32</c:v>
                </c:pt>
              </c:numCache>
            </c:numRef>
          </c:xVal>
          <c:yVal>
            <c:numRef>
              <c:f>'Mean Cp_PK'!$K$45:$K$61</c:f>
              <c:numCache>
                <c:formatCode>0.0</c:formatCode>
                <c:ptCount val="17"/>
                <c:pt idx="0">
                  <c:v>1.1043620000000001</c:v>
                </c:pt>
                <c:pt idx="1">
                  <c:v>23.397500000000001</c:v>
                </c:pt>
                <c:pt idx="2">
                  <c:v>41.981800000000007</c:v>
                </c:pt>
                <c:pt idx="3">
                  <c:v>45.992800000000003</c:v>
                </c:pt>
                <c:pt idx="4">
                  <c:v>42.249200000000002</c:v>
                </c:pt>
                <c:pt idx="5">
                  <c:v>36.099000000000004</c:v>
                </c:pt>
                <c:pt idx="6">
                  <c:v>29.948800000000002</c:v>
                </c:pt>
                <c:pt idx="7">
                  <c:v>24.868200000000002</c:v>
                </c:pt>
                <c:pt idx="8">
                  <c:v>31.018400000000003</c:v>
                </c:pt>
                <c:pt idx="9">
                  <c:v>36.901200000000003</c:v>
                </c:pt>
                <c:pt idx="10">
                  <c:v>29.414000000000001</c:v>
                </c:pt>
                <c:pt idx="11">
                  <c:v>22.301160000000003</c:v>
                </c:pt>
                <c:pt idx="12">
                  <c:v>19.333020000000001</c:v>
                </c:pt>
                <c:pt idx="13">
                  <c:v>14.198940000000002</c:v>
                </c:pt>
                <c:pt idx="14">
                  <c:v>4.0644800000000005</c:v>
                </c:pt>
                <c:pt idx="15">
                  <c:v>3.1285799999999999</c:v>
                </c:pt>
                <c:pt idx="16">
                  <c:v>1.4733740000000002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'Mean Cp_PK'!$N$10</c:f>
              <c:strCache>
                <c:ptCount val="1"/>
                <c:pt idx="0">
                  <c:v>D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'Mean Cp_PK'!$N$46:$N$61</c:f>
              <c:numCache>
                <c:formatCode>0.0</c:formatCode>
                <c:ptCount val="16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10</c:v>
                </c:pt>
                <c:pt idx="11">
                  <c:v>12</c:v>
                </c:pt>
                <c:pt idx="12">
                  <c:v>14</c:v>
                </c:pt>
                <c:pt idx="13">
                  <c:v>24</c:v>
                </c:pt>
                <c:pt idx="14">
                  <c:v>28</c:v>
                </c:pt>
                <c:pt idx="15">
                  <c:v>32</c:v>
                </c:pt>
              </c:numCache>
            </c:numRef>
          </c:xVal>
          <c:yVal>
            <c:numRef>
              <c:f>'Mean Cp_PK'!$O$45:$O$61</c:f>
              <c:numCache>
                <c:formatCode>0.0</c:formatCode>
                <c:ptCount val="17"/>
                <c:pt idx="0">
                  <c:v>0</c:v>
                </c:pt>
                <c:pt idx="1">
                  <c:v>49.469000000000008</c:v>
                </c:pt>
                <c:pt idx="2">
                  <c:v>81.022200000000012</c:v>
                </c:pt>
                <c:pt idx="3">
                  <c:v>87.439800000000005</c:v>
                </c:pt>
                <c:pt idx="4">
                  <c:v>85.568000000000012</c:v>
                </c:pt>
                <c:pt idx="5">
                  <c:v>73.535000000000011</c:v>
                </c:pt>
                <c:pt idx="6">
                  <c:v>64.176000000000002</c:v>
                </c:pt>
                <c:pt idx="7">
                  <c:v>54.282200000000003</c:v>
                </c:pt>
                <c:pt idx="8">
                  <c:v>53.212600000000002</c:v>
                </c:pt>
                <c:pt idx="9">
                  <c:v>40.110000000000007</c:v>
                </c:pt>
                <c:pt idx="10">
                  <c:v>33.692400000000006</c:v>
                </c:pt>
                <c:pt idx="11">
                  <c:v>24.146220000000003</c:v>
                </c:pt>
                <c:pt idx="12">
                  <c:v>16.765980000000003</c:v>
                </c:pt>
                <c:pt idx="13">
                  <c:v>14.198940000000002</c:v>
                </c:pt>
                <c:pt idx="14">
                  <c:v>4.2249200000000009</c:v>
                </c:pt>
                <c:pt idx="15">
                  <c:v>2.5804100000000005</c:v>
                </c:pt>
                <c:pt idx="16">
                  <c:v>1.4733740000000002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2239168"/>
        <c:axId val="532238776"/>
      </c:scatterChart>
      <c:valAx>
        <c:axId val="532239168"/>
        <c:scaling>
          <c:orientation val="minMax"/>
          <c:max val="32"/>
          <c:min val="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Time 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238776"/>
        <c:crosses val="autoZero"/>
        <c:crossBetween val="midCat"/>
        <c:majorUnit val="2"/>
        <c:minorUnit val="1"/>
      </c:valAx>
      <c:valAx>
        <c:axId val="53223877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Cp ng/ml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239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283339365217723"/>
          <c:y val="0.18365556186426876"/>
          <c:w val="0.21872189043542517"/>
          <c:h val="0.246381542172280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Metoprolol</a:t>
            </a:r>
            <a:r>
              <a:rPr lang="en-US" baseline="0"/>
              <a:t> human Study Grainger1985 day8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15048118985127"/>
          <c:y val="0.17171296296296296"/>
          <c:w val="0.80197375328083986"/>
          <c:h val="0.62271617089530473"/>
        </c:manualLayout>
      </c:layout>
      <c:scatterChart>
        <c:scatterStyle val="lineMarker"/>
        <c:varyColors val="0"/>
        <c:ser>
          <c:idx val="0"/>
          <c:order val="0"/>
          <c:tx>
            <c:v>IR Tablet 2*100mg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'Mean Cp_PK'!$DJ$45:$DJ$54</c:f>
              <c:numCache>
                <c:formatCode>0.00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12</c:v>
                </c:pt>
                <c:pt idx="7">
                  <c:v>14</c:v>
                </c:pt>
                <c:pt idx="8">
                  <c:v>20</c:v>
                </c:pt>
                <c:pt idx="9">
                  <c:v>24</c:v>
                </c:pt>
              </c:numCache>
            </c:numRef>
          </c:xVal>
          <c:yVal>
            <c:numRef>
              <c:f>'Mean Cp_PK'!$DK$45:$DK$54</c:f>
              <c:numCache>
                <c:formatCode>0.00</c:formatCode>
                <c:ptCount val="10"/>
                <c:pt idx="0">
                  <c:v>47.4</c:v>
                </c:pt>
                <c:pt idx="1">
                  <c:v>132</c:v>
                </c:pt>
                <c:pt idx="2">
                  <c:v>230</c:v>
                </c:pt>
                <c:pt idx="3">
                  <c:v>205</c:v>
                </c:pt>
                <c:pt idx="4">
                  <c:v>118</c:v>
                </c:pt>
                <c:pt idx="5">
                  <c:v>57.3</c:v>
                </c:pt>
                <c:pt idx="6">
                  <c:v>31.4</c:v>
                </c:pt>
                <c:pt idx="7">
                  <c:v>220</c:v>
                </c:pt>
                <c:pt idx="8">
                  <c:v>95.5</c:v>
                </c:pt>
                <c:pt idx="9">
                  <c:v>37.9</c:v>
                </c:pt>
              </c:numCache>
            </c:numRef>
          </c:yVal>
          <c:smooth val="0"/>
        </c:ser>
        <c:ser>
          <c:idx val="1"/>
          <c:order val="1"/>
          <c:tx>
            <c:v>OROS 19/285 day 8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'Mean Cp_PK'!$DN$45:$DN$55</c:f>
              <c:numCache>
                <c:formatCode>0.00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14</c:v>
                </c:pt>
                <c:pt idx="9">
                  <c:v>20</c:v>
                </c:pt>
                <c:pt idx="10">
                  <c:v>24</c:v>
                </c:pt>
              </c:numCache>
            </c:numRef>
          </c:xVal>
          <c:yVal>
            <c:numRef>
              <c:f>'Mean Cp_PK'!$DO$45:$DO$55</c:f>
              <c:numCache>
                <c:formatCode>0.00</c:formatCode>
                <c:ptCount val="11"/>
                <c:pt idx="0">
                  <c:v>169</c:v>
                </c:pt>
                <c:pt idx="1">
                  <c:v>160</c:v>
                </c:pt>
                <c:pt idx="2">
                  <c:v>156</c:v>
                </c:pt>
                <c:pt idx="3">
                  <c:v>167</c:v>
                </c:pt>
                <c:pt idx="4">
                  <c:v>189</c:v>
                </c:pt>
                <c:pt idx="5">
                  <c:v>219</c:v>
                </c:pt>
                <c:pt idx="6">
                  <c:v>226</c:v>
                </c:pt>
                <c:pt idx="7">
                  <c:v>207</c:v>
                </c:pt>
                <c:pt idx="8">
                  <c:v>206</c:v>
                </c:pt>
                <c:pt idx="9">
                  <c:v>163</c:v>
                </c:pt>
                <c:pt idx="10">
                  <c:v>131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633696"/>
        <c:axId val="64502864"/>
      </c:scatterChart>
      <c:valAx>
        <c:axId val="529633696"/>
        <c:scaling>
          <c:orientation val="minMax"/>
          <c:max val="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_Time 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02864"/>
        <c:crosses val="autoZero"/>
        <c:crossBetween val="midCat"/>
        <c:majorUnit val="2"/>
        <c:minorUnit val="1"/>
      </c:valAx>
      <c:valAx>
        <c:axId val="645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Cp ng/ml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633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945756780402454"/>
          <c:y val="0.1443048264800233"/>
          <c:w val="0.28054243219597552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Metoprolol</a:t>
            </a:r>
            <a:r>
              <a:rPr lang="en-US" baseline="0"/>
              <a:t> human Study Grainger1985 day1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15048118985127"/>
          <c:y val="0.17171296296296296"/>
          <c:w val="0.80197375328083986"/>
          <c:h val="0.62271617089530473"/>
        </c:manualLayout>
      </c:layout>
      <c:scatterChart>
        <c:scatterStyle val="lineMarker"/>
        <c:varyColors val="0"/>
        <c:ser>
          <c:idx val="0"/>
          <c:order val="0"/>
          <c:tx>
            <c:v>IR Tablet 2*100mg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'Mean Cp_PK'!$DB$45:$DB$55</c:f>
              <c:numCache>
                <c:formatCode>0.00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14</c:v>
                </c:pt>
                <c:pt idx="9">
                  <c:v>20</c:v>
                </c:pt>
                <c:pt idx="10">
                  <c:v>24</c:v>
                </c:pt>
              </c:numCache>
            </c:numRef>
          </c:xVal>
          <c:yVal>
            <c:numRef>
              <c:f>'Mean Cp_PK'!$DC$45:$DC$55</c:f>
              <c:numCache>
                <c:formatCode>0.00</c:formatCode>
                <c:ptCount val="11"/>
                <c:pt idx="0">
                  <c:v>0</c:v>
                </c:pt>
                <c:pt idx="1">
                  <c:v>76.2</c:v>
                </c:pt>
                <c:pt idx="2">
                  <c:v>131</c:v>
                </c:pt>
                <c:pt idx="3">
                  <c:v>103</c:v>
                </c:pt>
                <c:pt idx="4">
                  <c:v>98.2</c:v>
                </c:pt>
                <c:pt idx="5">
                  <c:v>73.7</c:v>
                </c:pt>
                <c:pt idx="6">
                  <c:v>30.6</c:v>
                </c:pt>
                <c:pt idx="7">
                  <c:v>13.6</c:v>
                </c:pt>
                <c:pt idx="8">
                  <c:v>132</c:v>
                </c:pt>
                <c:pt idx="9">
                  <c:v>66.599999999999994</c:v>
                </c:pt>
                <c:pt idx="10">
                  <c:v>28.9</c:v>
                </c:pt>
              </c:numCache>
            </c:numRef>
          </c:yVal>
          <c:smooth val="0"/>
        </c:ser>
        <c:ser>
          <c:idx val="1"/>
          <c:order val="1"/>
          <c:tx>
            <c:v>OROS 19/285 day 8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'Mean Cp_PK'!$DF$45:$DF$55</c:f>
              <c:numCache>
                <c:formatCode>0.00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14</c:v>
                </c:pt>
                <c:pt idx="9">
                  <c:v>20</c:v>
                </c:pt>
                <c:pt idx="10">
                  <c:v>24</c:v>
                </c:pt>
              </c:numCache>
            </c:numRef>
          </c:xVal>
          <c:yVal>
            <c:numRef>
              <c:f>'Mean Cp_PK'!$DG$45:$DG$55</c:f>
              <c:numCache>
                <c:formatCode>0.00</c:formatCode>
                <c:ptCount val="11"/>
                <c:pt idx="0">
                  <c:v>0</c:v>
                </c:pt>
                <c:pt idx="1">
                  <c:v>1.61</c:v>
                </c:pt>
                <c:pt idx="2">
                  <c:v>13.3</c:v>
                </c:pt>
                <c:pt idx="3">
                  <c:v>27.2</c:v>
                </c:pt>
                <c:pt idx="4">
                  <c:v>47.6</c:v>
                </c:pt>
                <c:pt idx="5">
                  <c:v>86.5</c:v>
                </c:pt>
                <c:pt idx="6">
                  <c:v>97.9</c:v>
                </c:pt>
                <c:pt idx="7">
                  <c:v>114</c:v>
                </c:pt>
                <c:pt idx="8">
                  <c:v>109</c:v>
                </c:pt>
                <c:pt idx="9">
                  <c:v>79.099999999999994</c:v>
                </c:pt>
                <c:pt idx="10">
                  <c:v>68.099999999999994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03256"/>
        <c:axId val="64503648"/>
      </c:scatterChart>
      <c:valAx>
        <c:axId val="64503256"/>
        <c:scaling>
          <c:orientation val="minMax"/>
          <c:max val="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_Time 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03648"/>
        <c:crosses val="autoZero"/>
        <c:crossBetween val="midCat"/>
        <c:majorUnit val="2"/>
        <c:minorUnit val="1"/>
      </c:valAx>
      <c:valAx>
        <c:axId val="64503648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Cp ng/ml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03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945756780402454"/>
          <c:y val="0.1443048264800233"/>
          <c:w val="0.28054243219597552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Metoprolol Dog 200mg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76159230096238"/>
          <c:y val="0.20125000000000001"/>
          <c:w val="0.82662642169728784"/>
          <c:h val="0.598827282006415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'Mean Cp_PK'!$EH$19</c:f>
              <c:strCache>
                <c:ptCount val="1"/>
                <c:pt idx="0">
                  <c:v>Caps pure DS</c:v>
                </c:pt>
              </c:strCache>
            </c:strRef>
          </c:tx>
          <c:spPr>
            <a:ln w="25400" cap="flat" cmpd="dbl" algn="ctr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noFill/>
              <a:ln w="34925" cap="flat" cmpd="dbl" algn="ctr">
                <a:solidFill>
                  <a:schemeClr val="accent1">
                    <a:lumMod val="75000"/>
                    <a:alpha val="70000"/>
                  </a:schemeClr>
                </a:solidFill>
                <a:round/>
              </a:ln>
              <a:effectLst/>
            </c:spPr>
          </c:marker>
          <c:xVal>
            <c:numRef>
              <c:f>'Mean Cp_PK'!$EH$45:$EH$61</c:f>
              <c:numCache>
                <c:formatCode>General</c:formatCode>
                <c:ptCount val="17"/>
                <c:pt idx="0" formatCode="0.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9.4499999999999993</c:v>
                </c:pt>
                <c:pt idx="14">
                  <c:v>10.5</c:v>
                </c:pt>
                <c:pt idx="15">
                  <c:v>11.15</c:v>
                </c:pt>
                <c:pt idx="16">
                  <c:v>12</c:v>
                </c:pt>
              </c:numCache>
            </c:numRef>
          </c:xVal>
          <c:yVal>
            <c:numRef>
              <c:f>'Mean Cp_PK'!$EI$45:$EI$61</c:f>
              <c:numCache>
                <c:formatCode>0.0</c:formatCode>
                <c:ptCount val="17"/>
                <c:pt idx="0">
                  <c:v>5.3375000000000004</c:v>
                </c:pt>
                <c:pt idx="1">
                  <c:v>195.62</c:v>
                </c:pt>
                <c:pt idx="2">
                  <c:v>763.88249999999994</c:v>
                </c:pt>
                <c:pt idx="3">
                  <c:v>729.5</c:v>
                </c:pt>
                <c:pt idx="4">
                  <c:v>715</c:v>
                </c:pt>
                <c:pt idx="5">
                  <c:v>677.5</c:v>
                </c:pt>
                <c:pt idx="6">
                  <c:v>522</c:v>
                </c:pt>
                <c:pt idx="7">
                  <c:v>356</c:v>
                </c:pt>
                <c:pt idx="8">
                  <c:v>255.75</c:v>
                </c:pt>
                <c:pt idx="9">
                  <c:v>162.9</c:v>
                </c:pt>
                <c:pt idx="10">
                  <c:v>95.050000000000011</c:v>
                </c:pt>
                <c:pt idx="11">
                  <c:v>44.774999999999999</c:v>
                </c:pt>
                <c:pt idx="12">
                  <c:v>29.625</c:v>
                </c:pt>
                <c:pt idx="13">
                  <c:v>9.375</c:v>
                </c:pt>
                <c:pt idx="14">
                  <c:v>2.7749999999999999</c:v>
                </c:pt>
                <c:pt idx="15">
                  <c:v>0.375</c:v>
                </c:pt>
                <c:pt idx="16">
                  <c:v>0.34250000000000003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'Mean Cp_PK'!$EL$19</c:f>
              <c:strCache>
                <c:ptCount val="1"/>
                <c:pt idx="0">
                  <c:v>Lopressor divitabs</c:v>
                </c:pt>
              </c:strCache>
            </c:strRef>
          </c:tx>
          <c:spPr>
            <a:ln w="25400" cap="flat" cmpd="dbl" algn="ctr">
              <a:solidFill>
                <a:schemeClr val="accent2">
                  <a:alpha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noFill/>
              <a:ln w="34925" cap="flat" cmpd="dbl" algn="ctr">
                <a:solidFill>
                  <a:schemeClr val="accent2">
                    <a:lumMod val="75000"/>
                    <a:alpha val="70000"/>
                  </a:schemeClr>
                </a:solidFill>
                <a:round/>
              </a:ln>
              <a:effectLst/>
            </c:spPr>
          </c:marker>
          <c:xVal>
            <c:numRef>
              <c:f>'Mean Cp_PK'!$EL$45:$EL$61</c:f>
              <c:numCache>
                <c:formatCode>General</c:formatCode>
                <c:ptCount val="17"/>
                <c:pt idx="0" formatCode="0.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9.4499999999999993</c:v>
                </c:pt>
                <c:pt idx="14">
                  <c:v>10.5</c:v>
                </c:pt>
                <c:pt idx="15">
                  <c:v>11.15</c:v>
                </c:pt>
                <c:pt idx="16">
                  <c:v>12</c:v>
                </c:pt>
              </c:numCache>
            </c:numRef>
          </c:xVal>
          <c:yVal>
            <c:numRef>
              <c:f>'Mean Cp_PK'!$EM$45:$EM$61</c:f>
              <c:numCache>
                <c:formatCode>0</c:formatCode>
                <c:ptCount val="17"/>
                <c:pt idx="0">
                  <c:v>0.82625250000000006</c:v>
                </c:pt>
                <c:pt idx="1">
                  <c:v>75.474999999999994</c:v>
                </c:pt>
                <c:pt idx="2">
                  <c:v>98.4</c:v>
                </c:pt>
                <c:pt idx="3">
                  <c:v>156.25</c:v>
                </c:pt>
                <c:pt idx="4">
                  <c:v>222.3</c:v>
                </c:pt>
                <c:pt idx="5">
                  <c:v>326.75</c:v>
                </c:pt>
                <c:pt idx="6">
                  <c:v>373.75</c:v>
                </c:pt>
                <c:pt idx="7">
                  <c:v>405.5</c:v>
                </c:pt>
                <c:pt idx="8">
                  <c:v>340</c:v>
                </c:pt>
                <c:pt idx="9">
                  <c:v>252.25</c:v>
                </c:pt>
                <c:pt idx="10">
                  <c:v>162</c:v>
                </c:pt>
                <c:pt idx="11">
                  <c:v>113.7</c:v>
                </c:pt>
                <c:pt idx="12">
                  <c:v>77.225000000000009</c:v>
                </c:pt>
                <c:pt idx="13">
                  <c:v>85.55</c:v>
                </c:pt>
                <c:pt idx="14">
                  <c:v>39.5</c:v>
                </c:pt>
                <c:pt idx="15">
                  <c:v>40.75</c:v>
                </c:pt>
                <c:pt idx="16">
                  <c:v>12.102499999999999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05216"/>
        <c:axId val="64505608"/>
      </c:scatterChart>
      <c:valAx>
        <c:axId val="64505216"/>
        <c:scaling>
          <c:orientation val="minMax"/>
          <c:max val="1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05608"/>
        <c:crosses val="autoZero"/>
        <c:crossBetween val="midCat"/>
        <c:minorUnit val="0.5"/>
      </c:valAx>
      <c:valAx>
        <c:axId val="645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Cp ng/ml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05216"/>
        <c:crosses val="autoZero"/>
        <c:crossBetween val="midCat"/>
        <c:minorUnit val="2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127690288713904"/>
          <c:y val="0.27481408573928257"/>
          <c:w val="0.26761198600174979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Metoprolol</a:t>
            </a:r>
            <a:r>
              <a:rPr lang="en-US" baseline="0"/>
              <a:t> Sandberg1988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0.17171296296296296"/>
          <c:w val="0.84243241469816255"/>
          <c:h val="0.622716170895304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'Mean Cp_PK'!$HR$8</c:f>
              <c:strCache>
                <c:ptCount val="1"/>
                <c:pt idx="0">
                  <c:v>ZOK 200mg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'Mean Cp_PK'!$HR$45:$HR$55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14</c:v>
                </c:pt>
                <c:pt idx="10">
                  <c:v>24</c:v>
                </c:pt>
              </c:numCache>
            </c:numRef>
          </c:xVal>
          <c:yVal>
            <c:numRef>
              <c:f>'Mean Cp_PK'!$HS$45:$HS$55</c:f>
              <c:numCache>
                <c:formatCode>0.0</c:formatCode>
                <c:ptCount val="11"/>
                <c:pt idx="0">
                  <c:v>19.573680000000003</c:v>
                </c:pt>
                <c:pt idx="1">
                  <c:v>35.029400000000003</c:v>
                </c:pt>
                <c:pt idx="2">
                  <c:v>50.003800000000005</c:v>
                </c:pt>
                <c:pt idx="3">
                  <c:v>60.967200000000005</c:v>
                </c:pt>
                <c:pt idx="4">
                  <c:v>60.967200000000005</c:v>
                </c:pt>
                <c:pt idx="5">
                  <c:v>63.908600000000007</c:v>
                </c:pt>
                <c:pt idx="6">
                  <c:v>62.304200000000009</c:v>
                </c:pt>
                <c:pt idx="7">
                  <c:v>62.571600000000004</c:v>
                </c:pt>
                <c:pt idx="8">
                  <c:v>62.036800000000007</c:v>
                </c:pt>
                <c:pt idx="9">
                  <c:v>64.978200000000001</c:v>
                </c:pt>
                <c:pt idx="10">
                  <c:v>41.981800000000007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'Mean Cp_PK'!$HV$8</c:f>
              <c:strCache>
                <c:ptCount val="1"/>
                <c:pt idx="0">
                  <c:v>ZOK 100mg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'Mean Cp_PK'!$HV$45:$HV$55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14</c:v>
                </c:pt>
                <c:pt idx="10">
                  <c:v>24</c:v>
                </c:pt>
              </c:numCache>
            </c:numRef>
          </c:xVal>
          <c:yVal>
            <c:numRef>
              <c:f>'Mean Cp_PK'!$HW$45:$HW$55</c:f>
              <c:numCache>
                <c:formatCode>0.0</c:formatCode>
                <c:ptCount val="11"/>
                <c:pt idx="0">
                  <c:v>7.433720000000001</c:v>
                </c:pt>
                <c:pt idx="1">
                  <c:v>19.573680000000003</c:v>
                </c:pt>
                <c:pt idx="2">
                  <c:v>23.852080000000004</c:v>
                </c:pt>
                <c:pt idx="3">
                  <c:v>33.425000000000004</c:v>
                </c:pt>
                <c:pt idx="4">
                  <c:v>33.959800000000001</c:v>
                </c:pt>
                <c:pt idx="5">
                  <c:v>35.296800000000005</c:v>
                </c:pt>
                <c:pt idx="6">
                  <c:v>33.959800000000001</c:v>
                </c:pt>
                <c:pt idx="7">
                  <c:v>32.088000000000001</c:v>
                </c:pt>
                <c:pt idx="8">
                  <c:v>32.622800000000005</c:v>
                </c:pt>
                <c:pt idx="9">
                  <c:v>30.483600000000003</c:v>
                </c:pt>
                <c:pt idx="10">
                  <c:v>17.354260000000004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'Mean Cp_PK'!$HZ$8</c:f>
              <c:strCache>
                <c:ptCount val="1"/>
                <c:pt idx="0">
                  <c:v>ZOK 50mg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'Mean Cp_PK'!$HZ$45:$HZ$55</c:f>
              <c:numCache>
                <c:formatCode>0.00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14</c:v>
                </c:pt>
                <c:pt idx="10">
                  <c:v>24</c:v>
                </c:pt>
              </c:numCache>
            </c:numRef>
          </c:xVal>
          <c:yVal>
            <c:numRef>
              <c:f>'Mean Cp_PK'!$IA$45:$IA$55</c:f>
              <c:numCache>
                <c:formatCode>0.0</c:formatCode>
                <c:ptCount val="11"/>
                <c:pt idx="0">
                  <c:v>3.7168600000000005</c:v>
                </c:pt>
                <c:pt idx="1">
                  <c:v>8.1289600000000011</c:v>
                </c:pt>
                <c:pt idx="2">
                  <c:v>10.348380000000002</c:v>
                </c:pt>
                <c:pt idx="3">
                  <c:v>14.198940000000002</c:v>
                </c:pt>
                <c:pt idx="4">
                  <c:v>15.428980000000003</c:v>
                </c:pt>
                <c:pt idx="5">
                  <c:v>18.049500000000002</c:v>
                </c:pt>
                <c:pt idx="6">
                  <c:v>15.99052</c:v>
                </c:pt>
                <c:pt idx="7">
                  <c:v>16.552060000000001</c:v>
                </c:pt>
                <c:pt idx="8">
                  <c:v>16.124220000000001</c:v>
                </c:pt>
                <c:pt idx="9">
                  <c:v>16.257920000000002</c:v>
                </c:pt>
                <c:pt idx="10">
                  <c:v>8.3963599999999996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'Mean Cp_PK'!$IX$8</c:f>
              <c:strCache>
                <c:ptCount val="1"/>
                <c:pt idx="0">
                  <c:v>ZOK 50mg fasted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'Mean Cp_PK'!$IX$45:$IX$55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14</c:v>
                </c:pt>
                <c:pt idx="10">
                  <c:v>24</c:v>
                </c:pt>
              </c:numCache>
            </c:numRef>
          </c:xVal>
          <c:yVal>
            <c:numRef>
              <c:f>'Mean Cp_PK'!$IY$45:$IY$55</c:f>
              <c:numCache>
                <c:formatCode>0.0</c:formatCode>
                <c:ptCount val="11"/>
                <c:pt idx="0">
                  <c:v>1.1016880000000002</c:v>
                </c:pt>
                <c:pt idx="1">
                  <c:v>5.6688800000000006</c:v>
                </c:pt>
                <c:pt idx="2">
                  <c:v>9.1450800000000019</c:v>
                </c:pt>
                <c:pt idx="3">
                  <c:v>12.80846</c:v>
                </c:pt>
                <c:pt idx="4">
                  <c:v>13.370000000000001</c:v>
                </c:pt>
                <c:pt idx="5">
                  <c:v>13.370000000000001</c:v>
                </c:pt>
                <c:pt idx="6">
                  <c:v>15.562680000000002</c:v>
                </c:pt>
                <c:pt idx="7">
                  <c:v>14.546560000000001</c:v>
                </c:pt>
                <c:pt idx="8">
                  <c:v>16.578800000000001</c:v>
                </c:pt>
                <c:pt idx="9">
                  <c:v>17.487960000000005</c:v>
                </c:pt>
                <c:pt idx="10">
                  <c:v>14.091980000000001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'Mean Cp_PK'!$IT$8</c:f>
              <c:strCache>
                <c:ptCount val="1"/>
                <c:pt idx="0">
                  <c:v>ZOK 50mg fed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5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'Mean Cp_PK'!$IT$45:$IT$55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14</c:v>
                </c:pt>
                <c:pt idx="10">
                  <c:v>24</c:v>
                </c:pt>
              </c:numCache>
            </c:numRef>
          </c:xVal>
          <c:yVal>
            <c:numRef>
              <c:f>'Mean Cp_PK'!$IU$45:$IU$55</c:f>
              <c:numCache>
                <c:formatCode>0.0</c:formatCode>
                <c:ptCount val="11"/>
                <c:pt idx="0">
                  <c:v>2.1365260000000004</c:v>
                </c:pt>
                <c:pt idx="1">
                  <c:v>8.1022200000000009</c:v>
                </c:pt>
                <c:pt idx="2">
                  <c:v>11.2308</c:v>
                </c:pt>
                <c:pt idx="3">
                  <c:v>15.428980000000003</c:v>
                </c:pt>
                <c:pt idx="4">
                  <c:v>15.32202</c:v>
                </c:pt>
                <c:pt idx="5">
                  <c:v>14.840700000000002</c:v>
                </c:pt>
                <c:pt idx="6">
                  <c:v>16.41836</c:v>
                </c:pt>
                <c:pt idx="7">
                  <c:v>17.541440000000001</c:v>
                </c:pt>
                <c:pt idx="8">
                  <c:v>19.627160000000003</c:v>
                </c:pt>
                <c:pt idx="9">
                  <c:v>20.857200000000002</c:v>
                </c:pt>
                <c:pt idx="10">
                  <c:v>11.712120000000001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02472"/>
        <c:axId val="64504432"/>
      </c:scatterChart>
      <c:valAx>
        <c:axId val="64502472"/>
        <c:scaling>
          <c:orientation val="minMax"/>
          <c:max val="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04432"/>
        <c:crosses val="autoZero"/>
        <c:crossBetween val="midCat"/>
        <c:majorUnit val="2"/>
      </c:valAx>
      <c:valAx>
        <c:axId val="64504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Cp ng/ml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02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62733694699188"/>
          <c:y val="9.2767348718088449E-2"/>
          <c:w val="0.27637275147413731"/>
          <c:h val="0.390128695831993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Metoprolol</a:t>
            </a:r>
            <a:r>
              <a:rPr lang="en-US" baseline="0"/>
              <a:t> Sandberg1988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0.17171296296296296"/>
          <c:w val="0.84243241469816255"/>
          <c:h val="0.622716170895304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'Mean Cp_PK'!$ID$8</c:f>
              <c:strCache>
                <c:ptCount val="1"/>
                <c:pt idx="0">
                  <c:v>Seloken Duriles 200mg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'Mean Cp_PK'!$ID$45:$ID$57</c:f>
              <c:numCache>
                <c:formatCode>General</c:formatCode>
                <c:ptCount val="13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10</c:v>
                </c:pt>
                <c:pt idx="10">
                  <c:v>12</c:v>
                </c:pt>
                <c:pt idx="11">
                  <c:v>24</c:v>
                </c:pt>
                <c:pt idx="12">
                  <c:v>25</c:v>
                </c:pt>
              </c:numCache>
            </c:numRef>
          </c:xVal>
          <c:yVal>
            <c:numRef>
              <c:f>'Mean Cp_PK'!$IE$45:$IE$57</c:f>
              <c:numCache>
                <c:formatCode>0.0</c:formatCode>
                <c:ptCount val="13"/>
                <c:pt idx="0">
                  <c:v>0.98403200000000013</c:v>
                </c:pt>
                <c:pt idx="1">
                  <c:v>35.564200000000007</c:v>
                </c:pt>
                <c:pt idx="2">
                  <c:v>64.710800000000006</c:v>
                </c:pt>
                <c:pt idx="3">
                  <c:v>100.27500000000001</c:v>
                </c:pt>
                <c:pt idx="4">
                  <c:v>125.94540000000001</c:v>
                </c:pt>
                <c:pt idx="5">
                  <c:v>128.88680000000002</c:v>
                </c:pt>
                <c:pt idx="6">
                  <c:v>118.99300000000001</c:v>
                </c:pt>
                <c:pt idx="7">
                  <c:v>112.84280000000001</c:v>
                </c:pt>
                <c:pt idx="8">
                  <c:v>95.461800000000011</c:v>
                </c:pt>
                <c:pt idx="9">
                  <c:v>84.231000000000009</c:v>
                </c:pt>
                <c:pt idx="10">
                  <c:v>68.989200000000011</c:v>
                </c:pt>
                <c:pt idx="11">
                  <c:v>27.809600000000003</c:v>
                </c:pt>
                <c:pt idx="12">
                  <c:v>23.210320000000003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'Mean Cp_PK'!$IH$8</c:f>
              <c:strCache>
                <c:ptCount val="1"/>
                <c:pt idx="0">
                  <c:v>Prelis 200mg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'Mean Cp_PK'!$IH$45:$IH$57</c:f>
              <c:numCache>
                <c:formatCode>General</c:formatCode>
                <c:ptCount val="13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10</c:v>
                </c:pt>
                <c:pt idx="10">
                  <c:v>12</c:v>
                </c:pt>
                <c:pt idx="11">
                  <c:v>24</c:v>
                </c:pt>
                <c:pt idx="12">
                  <c:v>25</c:v>
                </c:pt>
              </c:numCache>
            </c:numRef>
          </c:xVal>
          <c:yVal>
            <c:numRef>
              <c:f>'Mean Cp_PK'!$II$45:$II$57</c:f>
              <c:numCache>
                <c:formatCode>0.0</c:formatCode>
                <c:ptCount val="13"/>
                <c:pt idx="0">
                  <c:v>2.4199700000000006</c:v>
                </c:pt>
                <c:pt idx="1">
                  <c:v>1.4626780000000001</c:v>
                </c:pt>
                <c:pt idx="2">
                  <c:v>28.344400000000004</c:v>
                </c:pt>
                <c:pt idx="3">
                  <c:v>53.212600000000002</c:v>
                </c:pt>
                <c:pt idx="4">
                  <c:v>78.615600000000015</c:v>
                </c:pt>
                <c:pt idx="5">
                  <c:v>104.55340000000001</c:v>
                </c:pt>
                <c:pt idx="6">
                  <c:v>151.61580000000001</c:v>
                </c:pt>
                <c:pt idx="7">
                  <c:v>149.74400000000003</c:v>
                </c:pt>
                <c:pt idx="8">
                  <c:v>137.4436</c:v>
                </c:pt>
                <c:pt idx="9">
                  <c:v>116.58640000000001</c:v>
                </c:pt>
                <c:pt idx="10">
                  <c:v>89.044200000000004</c:v>
                </c:pt>
                <c:pt idx="11">
                  <c:v>25.055380000000003</c:v>
                </c:pt>
                <c:pt idx="12">
                  <c:v>20.349140000000002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'Mean Cp_PK'!$IL$8</c:f>
              <c:strCache>
                <c:ptCount val="1"/>
                <c:pt idx="0">
                  <c:v>Lopressor SR 200mg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'Mean Cp_PK'!$IL$45:$IL$57</c:f>
              <c:numCache>
                <c:formatCode>General</c:formatCode>
                <c:ptCount val="13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10</c:v>
                </c:pt>
                <c:pt idx="10">
                  <c:v>12</c:v>
                </c:pt>
                <c:pt idx="11">
                  <c:v>24</c:v>
                </c:pt>
                <c:pt idx="12">
                  <c:v>25</c:v>
                </c:pt>
              </c:numCache>
            </c:numRef>
          </c:xVal>
          <c:yVal>
            <c:numRef>
              <c:f>'Mean Cp_PK'!$IM$45:$IM$57</c:f>
              <c:numCache>
                <c:formatCode>0.0</c:formatCode>
                <c:ptCount val="13"/>
                <c:pt idx="0">
                  <c:v>1.941324</c:v>
                </c:pt>
                <c:pt idx="1">
                  <c:v>52.143000000000008</c:v>
                </c:pt>
                <c:pt idx="2">
                  <c:v>64.176000000000002</c:v>
                </c:pt>
                <c:pt idx="3">
                  <c:v>101.0772</c:v>
                </c:pt>
                <c:pt idx="4">
                  <c:v>134.76960000000003</c:v>
                </c:pt>
                <c:pt idx="5">
                  <c:v>163.9162</c:v>
                </c:pt>
                <c:pt idx="6">
                  <c:v>154.0224</c:v>
                </c:pt>
                <c:pt idx="7">
                  <c:v>146.80260000000001</c:v>
                </c:pt>
                <c:pt idx="8">
                  <c:v>133.16520000000003</c:v>
                </c:pt>
                <c:pt idx="9">
                  <c:v>108.56440000000001</c:v>
                </c:pt>
                <c:pt idx="10">
                  <c:v>84.765800000000013</c:v>
                </c:pt>
                <c:pt idx="11">
                  <c:v>22.167460000000005</c:v>
                </c:pt>
                <c:pt idx="12">
                  <c:v>18.450600000000001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'Mean Cp_PK'!$IP$8</c:f>
              <c:strCache>
                <c:ptCount val="1"/>
                <c:pt idx="0">
                  <c:v>IR 200mg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'Mean Cp_PK'!$IP$45:$IP$57</c:f>
              <c:numCache>
                <c:formatCode>General</c:formatCode>
                <c:ptCount val="13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10</c:v>
                </c:pt>
                <c:pt idx="10">
                  <c:v>12</c:v>
                </c:pt>
                <c:pt idx="11">
                  <c:v>24</c:v>
                </c:pt>
                <c:pt idx="12">
                  <c:v>25</c:v>
                </c:pt>
              </c:numCache>
            </c:numRef>
          </c:xVal>
          <c:yVal>
            <c:numRef>
              <c:f>'Mean Cp_PK'!$IQ$45:$IQ$57</c:f>
              <c:numCache>
                <c:formatCode>0.0</c:formatCode>
                <c:ptCount val="13"/>
                <c:pt idx="0">
                  <c:v>2.4172959999999999</c:v>
                </c:pt>
                <c:pt idx="1">
                  <c:v>212.85040000000001</c:v>
                </c:pt>
                <c:pt idx="2">
                  <c:v>250.28640000000001</c:v>
                </c:pt>
                <c:pt idx="3">
                  <c:v>265.52820000000003</c:v>
                </c:pt>
                <c:pt idx="4">
                  <c:v>238.52080000000004</c:v>
                </c:pt>
                <c:pt idx="5">
                  <c:v>186.91260000000003</c:v>
                </c:pt>
                <c:pt idx="6">
                  <c:v>147.87220000000002</c:v>
                </c:pt>
                <c:pt idx="7">
                  <c:v>133.96740000000003</c:v>
                </c:pt>
                <c:pt idx="8">
                  <c:v>95.461800000000011</c:v>
                </c:pt>
                <c:pt idx="9">
                  <c:v>68.721800000000002</c:v>
                </c:pt>
                <c:pt idx="10">
                  <c:v>50.271200000000007</c:v>
                </c:pt>
                <c:pt idx="11">
                  <c:v>15.482460000000001</c:v>
                </c:pt>
                <c:pt idx="12">
                  <c:v>13.664140000000002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'Mean Cp_PK'!$HR$8</c:f>
              <c:strCache>
                <c:ptCount val="1"/>
                <c:pt idx="0">
                  <c:v>ZOK 200mg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'Mean Cp_PK'!$HR$45:$HR$55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14</c:v>
                </c:pt>
                <c:pt idx="10">
                  <c:v>24</c:v>
                </c:pt>
              </c:numCache>
            </c:numRef>
          </c:xVal>
          <c:yVal>
            <c:numRef>
              <c:f>'Mean Cp_PK'!$HS$45:$HS$55</c:f>
              <c:numCache>
                <c:formatCode>0.0</c:formatCode>
                <c:ptCount val="11"/>
                <c:pt idx="0">
                  <c:v>19.573680000000003</c:v>
                </c:pt>
                <c:pt idx="1">
                  <c:v>35.029400000000003</c:v>
                </c:pt>
                <c:pt idx="2">
                  <c:v>50.003800000000005</c:v>
                </c:pt>
                <c:pt idx="3">
                  <c:v>60.967200000000005</c:v>
                </c:pt>
                <c:pt idx="4">
                  <c:v>60.967200000000005</c:v>
                </c:pt>
                <c:pt idx="5">
                  <c:v>63.908600000000007</c:v>
                </c:pt>
                <c:pt idx="6">
                  <c:v>62.304200000000009</c:v>
                </c:pt>
                <c:pt idx="7">
                  <c:v>62.571600000000004</c:v>
                </c:pt>
                <c:pt idx="8">
                  <c:v>62.036800000000007</c:v>
                </c:pt>
                <c:pt idx="9">
                  <c:v>64.978200000000001</c:v>
                </c:pt>
                <c:pt idx="10">
                  <c:v>41.981800000000007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73712"/>
        <c:axId val="64574104"/>
      </c:scatterChart>
      <c:valAx>
        <c:axId val="64573712"/>
        <c:scaling>
          <c:orientation val="minMax"/>
          <c:max val="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74104"/>
        <c:crosses val="autoZero"/>
        <c:crossBetween val="midCat"/>
        <c:majorUnit val="2"/>
      </c:valAx>
      <c:valAx>
        <c:axId val="64574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Cp ng/ml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7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138549271979784"/>
          <c:y val="0.2081076024666467"/>
          <c:w val="0.34861450728020216"/>
          <c:h val="0.39677483221171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Metoprolol</a:t>
            </a:r>
            <a:r>
              <a:rPr lang="en-US" baseline="0"/>
              <a:t> Paroxtine Stout2011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0.17171296296296296"/>
          <c:w val="0.84243241469816255"/>
          <c:h val="0.622716170895304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'Mean Cp_PK'!$JB$8</c:f>
              <c:strCache>
                <c:ptCount val="1"/>
                <c:pt idx="0">
                  <c:v>Metoprolol 50mg IR day 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'Mean Cp_PK'!$JB$45:$JB$56</c:f>
              <c:numCache>
                <c:formatCode>0.00</c:formatCode>
                <c:ptCount val="12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10</c:v>
                </c:pt>
                <c:pt idx="10">
                  <c:v>12</c:v>
                </c:pt>
                <c:pt idx="11">
                  <c:v>24</c:v>
                </c:pt>
              </c:numCache>
            </c:numRef>
          </c:xVal>
          <c:yVal>
            <c:numRef>
              <c:f>'Mean Cp_PK'!$JC$45:$JC$56</c:f>
              <c:numCache>
                <c:formatCode>0.0</c:formatCode>
                <c:ptCount val="12"/>
                <c:pt idx="0">
                  <c:v>4.59</c:v>
                </c:pt>
                <c:pt idx="1">
                  <c:v>65.5</c:v>
                </c:pt>
                <c:pt idx="2">
                  <c:v>104</c:v>
                </c:pt>
                <c:pt idx="3">
                  <c:v>129</c:v>
                </c:pt>
                <c:pt idx="4">
                  <c:v>136</c:v>
                </c:pt>
                <c:pt idx="5">
                  <c:v>121</c:v>
                </c:pt>
                <c:pt idx="6">
                  <c:v>76.8</c:v>
                </c:pt>
                <c:pt idx="7">
                  <c:v>60.8</c:v>
                </c:pt>
                <c:pt idx="8">
                  <c:v>49.8</c:v>
                </c:pt>
                <c:pt idx="9">
                  <c:v>38.1</c:v>
                </c:pt>
                <c:pt idx="10">
                  <c:v>28.2</c:v>
                </c:pt>
                <c:pt idx="11">
                  <c:v>6.28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'Mean Cp_PK'!$JF$8</c:f>
              <c:strCache>
                <c:ptCount val="1"/>
                <c:pt idx="0">
                  <c:v>Meto IR 50mg Paroxtine 20mg IR day 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'Mean Cp_PK'!$JF$45:$JF$54</c:f>
              <c:numCache>
                <c:formatCode>0.00</c:formatCode>
                <c:ptCount val="10"/>
                <c:pt idx="0">
                  <c:v>0.5</c:v>
                </c:pt>
                <c:pt idx="1">
                  <c:v>0.75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</c:numCache>
            </c:numRef>
          </c:xVal>
          <c:yVal>
            <c:numRef>
              <c:f>'Mean Cp_PK'!$JG$45:$JG$54</c:f>
              <c:numCache>
                <c:formatCode>0.0</c:formatCode>
                <c:ptCount val="10"/>
                <c:pt idx="0">
                  <c:v>31.1</c:v>
                </c:pt>
                <c:pt idx="1">
                  <c:v>38.1</c:v>
                </c:pt>
                <c:pt idx="2">
                  <c:v>53.5</c:v>
                </c:pt>
                <c:pt idx="3">
                  <c:v>46.8</c:v>
                </c:pt>
                <c:pt idx="4">
                  <c:v>41.6</c:v>
                </c:pt>
                <c:pt idx="5">
                  <c:v>25.6</c:v>
                </c:pt>
                <c:pt idx="6">
                  <c:v>14.7</c:v>
                </c:pt>
                <c:pt idx="7">
                  <c:v>11</c:v>
                </c:pt>
                <c:pt idx="8">
                  <c:v>7.13</c:v>
                </c:pt>
                <c:pt idx="9">
                  <c:v>6.36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72928"/>
        <c:axId val="64573320"/>
      </c:scatterChart>
      <c:valAx>
        <c:axId val="64572928"/>
        <c:scaling>
          <c:orientation val="minMax"/>
          <c:max val="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73320"/>
        <c:crosses val="autoZero"/>
        <c:crossBetween val="midCat"/>
        <c:majorUnit val="2"/>
      </c:valAx>
      <c:valAx>
        <c:axId val="6457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Cp ng/ml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72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6300061392236744"/>
          <c:y val="0.2081076024666467"/>
          <c:w val="0.39457561062905916"/>
          <c:h val="0.42191728355643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Metoprolol</a:t>
            </a:r>
            <a:r>
              <a:rPr lang="en-US" baseline="0"/>
              <a:t> Lecaillon 1985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0.17171296296296296"/>
          <c:w val="0.84243241469816255"/>
          <c:h val="0.622716170895304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'Mean Cp_PK'!$GD$14</c:f>
              <c:strCache>
                <c:ptCount val="1"/>
                <c:pt idx="0">
                  <c:v>fasted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'Mean Cp_PK'!$GD$45:$GD$57</c:f>
              <c:numCache>
                <c:formatCode>0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10</c:v>
                </c:pt>
                <c:pt idx="6">
                  <c:v>12</c:v>
                </c:pt>
                <c:pt idx="7">
                  <c:v>15</c:v>
                </c:pt>
                <c:pt idx="8">
                  <c:v>18</c:v>
                </c:pt>
                <c:pt idx="9">
                  <c:v>21</c:v>
                </c:pt>
                <c:pt idx="10">
                  <c:v>24</c:v>
                </c:pt>
                <c:pt idx="11">
                  <c:v>28</c:v>
                </c:pt>
                <c:pt idx="12">
                  <c:v>32</c:v>
                </c:pt>
              </c:numCache>
            </c:numRef>
          </c:xVal>
          <c:yVal>
            <c:numRef>
              <c:f>'Mean Cp_PK'!$GE$45:$GE$57</c:f>
              <c:numCache>
                <c:formatCode>0.0</c:formatCode>
                <c:ptCount val="13"/>
                <c:pt idx="0">
                  <c:v>0</c:v>
                </c:pt>
                <c:pt idx="1">
                  <c:v>22.1</c:v>
                </c:pt>
                <c:pt idx="2">
                  <c:v>64.2</c:v>
                </c:pt>
                <c:pt idx="3">
                  <c:v>69.599999999999994</c:v>
                </c:pt>
                <c:pt idx="4">
                  <c:v>76.8</c:v>
                </c:pt>
                <c:pt idx="5">
                  <c:v>76.099999999999994</c:v>
                </c:pt>
                <c:pt idx="6">
                  <c:v>66.900000000000006</c:v>
                </c:pt>
                <c:pt idx="7">
                  <c:v>45</c:v>
                </c:pt>
                <c:pt idx="8">
                  <c:v>31.8</c:v>
                </c:pt>
                <c:pt idx="9">
                  <c:v>23.4</c:v>
                </c:pt>
                <c:pt idx="10">
                  <c:v>17.600000000000001</c:v>
                </c:pt>
                <c:pt idx="11">
                  <c:v>9.01</c:v>
                </c:pt>
                <c:pt idx="12">
                  <c:v>6.31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'Mean Cp_PK'!$GH$14</c:f>
              <c:strCache>
                <c:ptCount val="1"/>
                <c:pt idx="0">
                  <c:v>fed breakfeast 300kcal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'Mean Cp_PK'!$GH$45:$GH$58</c:f>
              <c:numCache>
                <c:formatCode>0</c:formatCode>
                <c:ptCount val="14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15</c:v>
                </c:pt>
                <c:pt idx="9">
                  <c:v>18</c:v>
                </c:pt>
                <c:pt idx="10">
                  <c:v>21</c:v>
                </c:pt>
                <c:pt idx="11">
                  <c:v>24</c:v>
                </c:pt>
                <c:pt idx="12">
                  <c:v>28</c:v>
                </c:pt>
                <c:pt idx="13">
                  <c:v>32</c:v>
                </c:pt>
              </c:numCache>
            </c:numRef>
          </c:xVal>
          <c:yVal>
            <c:numRef>
              <c:f>'Mean Cp_PK'!$GI$45:$GI$58</c:f>
              <c:numCache>
                <c:formatCode>0.0</c:formatCode>
                <c:ptCount val="14"/>
                <c:pt idx="0">
                  <c:v>0</c:v>
                </c:pt>
                <c:pt idx="1">
                  <c:v>26.6</c:v>
                </c:pt>
                <c:pt idx="2">
                  <c:v>38.700000000000003</c:v>
                </c:pt>
                <c:pt idx="3">
                  <c:v>49.5</c:v>
                </c:pt>
                <c:pt idx="4">
                  <c:v>82.9</c:v>
                </c:pt>
                <c:pt idx="5">
                  <c:v>79.7</c:v>
                </c:pt>
                <c:pt idx="6">
                  <c:v>71.2</c:v>
                </c:pt>
                <c:pt idx="7">
                  <c:v>74.099999999999994</c:v>
                </c:pt>
                <c:pt idx="8">
                  <c:v>50.9</c:v>
                </c:pt>
                <c:pt idx="9">
                  <c:v>34.9</c:v>
                </c:pt>
                <c:pt idx="10">
                  <c:v>18.899999999999999</c:v>
                </c:pt>
                <c:pt idx="11">
                  <c:v>12.6</c:v>
                </c:pt>
                <c:pt idx="12">
                  <c:v>4.95</c:v>
                </c:pt>
                <c:pt idx="13">
                  <c:v>1.8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'Mean Cp_PK'!$GL$14</c:f>
              <c:strCache>
                <c:ptCount val="1"/>
                <c:pt idx="0">
                  <c:v>fed lunch 300 kcal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'Mean Cp_PK'!$GL$45:$GL$58</c:f>
              <c:numCache>
                <c:formatCode>0</c:formatCode>
                <c:ptCount val="14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15</c:v>
                </c:pt>
                <c:pt idx="9">
                  <c:v>18</c:v>
                </c:pt>
                <c:pt idx="10">
                  <c:v>21</c:v>
                </c:pt>
                <c:pt idx="11">
                  <c:v>24</c:v>
                </c:pt>
                <c:pt idx="12">
                  <c:v>28</c:v>
                </c:pt>
                <c:pt idx="13">
                  <c:v>32</c:v>
                </c:pt>
              </c:numCache>
            </c:numRef>
          </c:xVal>
          <c:yVal>
            <c:numRef>
              <c:f>'Mean Cp_PK'!$GM$45:$GM$58</c:f>
              <c:numCache>
                <c:formatCode>0.0</c:formatCode>
                <c:ptCount val="14"/>
                <c:pt idx="0">
                  <c:v>0</c:v>
                </c:pt>
                <c:pt idx="1">
                  <c:v>32.9</c:v>
                </c:pt>
                <c:pt idx="2">
                  <c:v>40.1</c:v>
                </c:pt>
                <c:pt idx="3">
                  <c:v>45.7</c:v>
                </c:pt>
                <c:pt idx="4">
                  <c:v>60.6</c:v>
                </c:pt>
                <c:pt idx="5">
                  <c:v>76.400000000000006</c:v>
                </c:pt>
                <c:pt idx="6">
                  <c:v>73.599999999999994</c:v>
                </c:pt>
                <c:pt idx="7">
                  <c:v>63.5</c:v>
                </c:pt>
                <c:pt idx="8">
                  <c:v>45</c:v>
                </c:pt>
                <c:pt idx="9">
                  <c:v>30.9</c:v>
                </c:pt>
                <c:pt idx="10">
                  <c:v>19.600000000000001</c:v>
                </c:pt>
                <c:pt idx="11">
                  <c:v>13.1</c:v>
                </c:pt>
                <c:pt idx="12">
                  <c:v>2.7</c:v>
                </c:pt>
                <c:pt idx="13">
                  <c:v>1.35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'Mean Cp_PK'!$GP$14</c:f>
              <c:strCache>
                <c:ptCount val="1"/>
                <c:pt idx="0">
                  <c:v>fed dinner 300kcal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'Mean Cp_PK'!$GP$45:$GP$58</c:f>
              <c:numCache>
                <c:formatCode>0</c:formatCode>
                <c:ptCount val="14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15</c:v>
                </c:pt>
                <c:pt idx="9">
                  <c:v>18</c:v>
                </c:pt>
                <c:pt idx="10">
                  <c:v>21</c:v>
                </c:pt>
                <c:pt idx="11">
                  <c:v>24</c:v>
                </c:pt>
                <c:pt idx="12">
                  <c:v>28</c:v>
                </c:pt>
                <c:pt idx="13">
                  <c:v>32</c:v>
                </c:pt>
              </c:numCache>
            </c:numRef>
          </c:xVal>
          <c:yVal>
            <c:numRef>
              <c:f>'Mean Cp_PK'!$GQ$45:$GQ$58</c:f>
              <c:numCache>
                <c:formatCode>0.0</c:formatCode>
                <c:ptCount val="14"/>
                <c:pt idx="0">
                  <c:v>0</c:v>
                </c:pt>
                <c:pt idx="1">
                  <c:v>17.100000000000001</c:v>
                </c:pt>
                <c:pt idx="2">
                  <c:v>25.7</c:v>
                </c:pt>
                <c:pt idx="3">
                  <c:v>42.1</c:v>
                </c:pt>
                <c:pt idx="4">
                  <c:v>65.5</c:v>
                </c:pt>
                <c:pt idx="5">
                  <c:v>83.6</c:v>
                </c:pt>
                <c:pt idx="6">
                  <c:v>83.8</c:v>
                </c:pt>
                <c:pt idx="7">
                  <c:v>75.7</c:v>
                </c:pt>
                <c:pt idx="8">
                  <c:v>46.4</c:v>
                </c:pt>
                <c:pt idx="9">
                  <c:v>27.7</c:v>
                </c:pt>
                <c:pt idx="10">
                  <c:v>14.9</c:v>
                </c:pt>
                <c:pt idx="11">
                  <c:v>8.7799999999999994</c:v>
                </c:pt>
                <c:pt idx="12">
                  <c:v>2.7</c:v>
                </c:pt>
                <c:pt idx="13">
                  <c:v>1.35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74496"/>
        <c:axId val="64574888"/>
      </c:scatterChart>
      <c:valAx>
        <c:axId val="64574496"/>
        <c:scaling>
          <c:orientation val="minMax"/>
          <c:max val="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74888"/>
        <c:crosses val="autoZero"/>
        <c:crossBetween val="midCat"/>
        <c:majorUnit val="2"/>
      </c:valAx>
      <c:valAx>
        <c:axId val="645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Cp ng/ml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74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173931465222735"/>
          <c:y val="0.16701788259729022"/>
          <c:w val="0.33826068534777265"/>
          <c:h val="0.40605945226392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alpha-Hydroxy-Metoprolol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0.17171296296296296"/>
          <c:w val="0.84243241469816255"/>
          <c:h val="0.622716170895304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'Mean Cp_PK'!$GT$14</c:f>
              <c:strCache>
                <c:ptCount val="1"/>
                <c:pt idx="0">
                  <c:v>fasted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'Mean Cp_PK'!$GT$45:$GT$58</c:f>
              <c:numCache>
                <c:formatCode>0.00</c:formatCode>
                <c:ptCount val="14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15</c:v>
                </c:pt>
                <c:pt idx="9">
                  <c:v>18</c:v>
                </c:pt>
                <c:pt idx="10">
                  <c:v>21</c:v>
                </c:pt>
                <c:pt idx="11">
                  <c:v>24</c:v>
                </c:pt>
                <c:pt idx="12">
                  <c:v>28</c:v>
                </c:pt>
                <c:pt idx="13">
                  <c:v>32</c:v>
                </c:pt>
              </c:numCache>
            </c:numRef>
          </c:xVal>
          <c:yVal>
            <c:numRef>
              <c:f>'Mean Cp_PK'!$GU$45:$GU$58</c:f>
              <c:numCache>
                <c:formatCode>0.00</c:formatCode>
                <c:ptCount val="14"/>
                <c:pt idx="0">
                  <c:v>0.214</c:v>
                </c:pt>
                <c:pt idx="1">
                  <c:v>15.4</c:v>
                </c:pt>
                <c:pt idx="2">
                  <c:v>28.9</c:v>
                </c:pt>
                <c:pt idx="3">
                  <c:v>38.6</c:v>
                </c:pt>
                <c:pt idx="4">
                  <c:v>43.8</c:v>
                </c:pt>
                <c:pt idx="5">
                  <c:v>50.8</c:v>
                </c:pt>
                <c:pt idx="6">
                  <c:v>59.5</c:v>
                </c:pt>
                <c:pt idx="7">
                  <c:v>57</c:v>
                </c:pt>
                <c:pt idx="8">
                  <c:v>48.7</c:v>
                </c:pt>
                <c:pt idx="9">
                  <c:v>37.5</c:v>
                </c:pt>
                <c:pt idx="10">
                  <c:v>31</c:v>
                </c:pt>
                <c:pt idx="11">
                  <c:v>26.6</c:v>
                </c:pt>
                <c:pt idx="12">
                  <c:v>20.6</c:v>
                </c:pt>
                <c:pt idx="13">
                  <c:v>12.3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'Mean Cp_PK'!$GX$14</c:f>
              <c:strCache>
                <c:ptCount val="1"/>
                <c:pt idx="0">
                  <c:v>fed breakfeast 300kcal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'Mean Cp_PK'!$GX$45:$GX$58</c:f>
              <c:numCache>
                <c:formatCode>0.00</c:formatCode>
                <c:ptCount val="14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15</c:v>
                </c:pt>
                <c:pt idx="9">
                  <c:v>18</c:v>
                </c:pt>
                <c:pt idx="10">
                  <c:v>21</c:v>
                </c:pt>
                <c:pt idx="11">
                  <c:v>24</c:v>
                </c:pt>
                <c:pt idx="12">
                  <c:v>28</c:v>
                </c:pt>
                <c:pt idx="13">
                  <c:v>32</c:v>
                </c:pt>
              </c:numCache>
            </c:numRef>
          </c:xVal>
          <c:yVal>
            <c:numRef>
              <c:f>'Mean Cp_PK'!$GY$45:$GY$58</c:f>
              <c:numCache>
                <c:formatCode>0.00</c:formatCode>
                <c:ptCount val="14"/>
                <c:pt idx="0">
                  <c:v>1.1200000000000001</c:v>
                </c:pt>
                <c:pt idx="1">
                  <c:v>14</c:v>
                </c:pt>
                <c:pt idx="2">
                  <c:v>21.7</c:v>
                </c:pt>
                <c:pt idx="3">
                  <c:v>32.1</c:v>
                </c:pt>
                <c:pt idx="4">
                  <c:v>46.1</c:v>
                </c:pt>
                <c:pt idx="5">
                  <c:v>54.8</c:v>
                </c:pt>
                <c:pt idx="6">
                  <c:v>58.6</c:v>
                </c:pt>
                <c:pt idx="7">
                  <c:v>61.1</c:v>
                </c:pt>
                <c:pt idx="8">
                  <c:v>50.7</c:v>
                </c:pt>
                <c:pt idx="9">
                  <c:v>44.8</c:v>
                </c:pt>
                <c:pt idx="10">
                  <c:v>33.5</c:v>
                </c:pt>
                <c:pt idx="11">
                  <c:v>24.1</c:v>
                </c:pt>
                <c:pt idx="12">
                  <c:v>15.9</c:v>
                </c:pt>
                <c:pt idx="13">
                  <c:v>8.92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'Mean Cp_PK'!$HB$14</c:f>
              <c:strCache>
                <c:ptCount val="1"/>
                <c:pt idx="0">
                  <c:v>fed lunch 300 kcal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'Mean Cp_PK'!$HB$45:$HB$58</c:f>
              <c:numCache>
                <c:formatCode>0.00</c:formatCode>
                <c:ptCount val="14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15</c:v>
                </c:pt>
                <c:pt idx="9">
                  <c:v>18</c:v>
                </c:pt>
                <c:pt idx="10">
                  <c:v>21</c:v>
                </c:pt>
                <c:pt idx="11">
                  <c:v>24</c:v>
                </c:pt>
                <c:pt idx="12">
                  <c:v>28</c:v>
                </c:pt>
                <c:pt idx="13">
                  <c:v>32</c:v>
                </c:pt>
              </c:numCache>
            </c:numRef>
          </c:xVal>
          <c:yVal>
            <c:numRef>
              <c:f>'Mean Cp_PK'!$HC$45:$HC$58</c:f>
              <c:numCache>
                <c:formatCode>0.00</c:formatCode>
                <c:ptCount val="14"/>
                <c:pt idx="0">
                  <c:v>0.44400000000000001</c:v>
                </c:pt>
                <c:pt idx="1">
                  <c:v>11.7</c:v>
                </c:pt>
                <c:pt idx="2">
                  <c:v>19.399999999999999</c:v>
                </c:pt>
                <c:pt idx="3">
                  <c:v>29.6</c:v>
                </c:pt>
                <c:pt idx="4">
                  <c:v>37.4</c:v>
                </c:pt>
                <c:pt idx="5">
                  <c:v>53</c:v>
                </c:pt>
                <c:pt idx="6">
                  <c:v>57.3</c:v>
                </c:pt>
                <c:pt idx="7">
                  <c:v>55.6</c:v>
                </c:pt>
                <c:pt idx="8">
                  <c:v>46.7</c:v>
                </c:pt>
                <c:pt idx="9">
                  <c:v>36.1</c:v>
                </c:pt>
                <c:pt idx="10">
                  <c:v>28.6</c:v>
                </c:pt>
                <c:pt idx="11">
                  <c:v>21</c:v>
                </c:pt>
                <c:pt idx="12">
                  <c:v>11.1</c:v>
                </c:pt>
                <c:pt idx="13">
                  <c:v>7.56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'Mean Cp_PK'!$HF$14</c:f>
              <c:strCache>
                <c:ptCount val="1"/>
                <c:pt idx="0">
                  <c:v>fed dinner 300 kcall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'Mean Cp_PK'!$HF$45:$HF$58</c:f>
              <c:numCache>
                <c:formatCode>0.00</c:formatCode>
                <c:ptCount val="14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15</c:v>
                </c:pt>
                <c:pt idx="9">
                  <c:v>18</c:v>
                </c:pt>
                <c:pt idx="10">
                  <c:v>21</c:v>
                </c:pt>
                <c:pt idx="11">
                  <c:v>24</c:v>
                </c:pt>
                <c:pt idx="12">
                  <c:v>28</c:v>
                </c:pt>
                <c:pt idx="13">
                  <c:v>32</c:v>
                </c:pt>
              </c:numCache>
            </c:numRef>
          </c:xVal>
          <c:yVal>
            <c:numRef>
              <c:f>'Mean Cp_PK'!$HG$45:$HG$58</c:f>
              <c:numCache>
                <c:formatCode>0.00</c:formatCode>
                <c:ptCount val="14"/>
                <c:pt idx="0">
                  <c:v>0.221</c:v>
                </c:pt>
                <c:pt idx="1">
                  <c:v>9.68</c:v>
                </c:pt>
                <c:pt idx="2">
                  <c:v>17.399999999999999</c:v>
                </c:pt>
                <c:pt idx="3">
                  <c:v>25.5</c:v>
                </c:pt>
                <c:pt idx="4">
                  <c:v>52.4</c:v>
                </c:pt>
                <c:pt idx="5">
                  <c:v>60.5</c:v>
                </c:pt>
                <c:pt idx="6">
                  <c:v>68.599999999999994</c:v>
                </c:pt>
                <c:pt idx="7">
                  <c:v>62.4</c:v>
                </c:pt>
                <c:pt idx="8">
                  <c:v>53.5</c:v>
                </c:pt>
                <c:pt idx="9">
                  <c:v>39.299999999999997</c:v>
                </c:pt>
                <c:pt idx="10">
                  <c:v>29.7</c:v>
                </c:pt>
                <c:pt idx="11">
                  <c:v>20.5</c:v>
                </c:pt>
                <c:pt idx="12">
                  <c:v>12.9</c:v>
                </c:pt>
                <c:pt idx="13">
                  <c:v>8.24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7014152"/>
        <c:axId val="527014544"/>
      </c:scatterChart>
      <c:valAx>
        <c:axId val="527014152"/>
        <c:scaling>
          <c:orientation val="minMax"/>
          <c:max val="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014544"/>
        <c:crosses val="autoZero"/>
        <c:crossBetween val="midCat"/>
        <c:majorUnit val="2"/>
      </c:valAx>
      <c:valAx>
        <c:axId val="527014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Cp ng/ml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0141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265220888313477"/>
          <c:y val="9.2767348718088449E-2"/>
          <c:w val="0.37070913858584698"/>
          <c:h val="0.329490847131363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alpha-Hydroxy-Metoprolol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0.17171296296296296"/>
          <c:w val="0.84243241469816255"/>
          <c:h val="0.62271617089530473"/>
        </c:manualLayout>
      </c:layout>
      <c:scatterChart>
        <c:scatterStyle val="lineMarker"/>
        <c:varyColors val="0"/>
        <c:ser>
          <c:idx val="0"/>
          <c:order val="0"/>
          <c:tx>
            <c:v>fasted Hydroxy-Metoprolol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'Mean Cp_PK'!$GT$45:$GT$58</c:f>
              <c:numCache>
                <c:formatCode>0.00</c:formatCode>
                <c:ptCount val="14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15</c:v>
                </c:pt>
                <c:pt idx="9">
                  <c:v>18</c:v>
                </c:pt>
                <c:pt idx="10">
                  <c:v>21</c:v>
                </c:pt>
                <c:pt idx="11">
                  <c:v>24</c:v>
                </c:pt>
                <c:pt idx="12">
                  <c:v>28</c:v>
                </c:pt>
                <c:pt idx="13">
                  <c:v>32</c:v>
                </c:pt>
              </c:numCache>
            </c:numRef>
          </c:xVal>
          <c:yVal>
            <c:numRef>
              <c:f>'Mean Cp_PK'!$GU$45:$GU$58</c:f>
              <c:numCache>
                <c:formatCode>0.00</c:formatCode>
                <c:ptCount val="14"/>
                <c:pt idx="0">
                  <c:v>0.214</c:v>
                </c:pt>
                <c:pt idx="1">
                  <c:v>15.4</c:v>
                </c:pt>
                <c:pt idx="2">
                  <c:v>28.9</c:v>
                </c:pt>
                <c:pt idx="3">
                  <c:v>38.6</c:v>
                </c:pt>
                <c:pt idx="4">
                  <c:v>43.8</c:v>
                </c:pt>
                <c:pt idx="5">
                  <c:v>50.8</c:v>
                </c:pt>
                <c:pt idx="6">
                  <c:v>59.5</c:v>
                </c:pt>
                <c:pt idx="7">
                  <c:v>57</c:v>
                </c:pt>
                <c:pt idx="8">
                  <c:v>48.7</c:v>
                </c:pt>
                <c:pt idx="9">
                  <c:v>37.5</c:v>
                </c:pt>
                <c:pt idx="10">
                  <c:v>31</c:v>
                </c:pt>
                <c:pt idx="11">
                  <c:v>26.6</c:v>
                </c:pt>
                <c:pt idx="12">
                  <c:v>20.6</c:v>
                </c:pt>
                <c:pt idx="13">
                  <c:v>12.3</c:v>
                </c:pt>
              </c:numCache>
            </c:numRef>
          </c:yVal>
          <c:smooth val="0"/>
        </c:ser>
        <c:ser>
          <c:idx val="1"/>
          <c:order val="1"/>
          <c:tx>
            <c:v>fasted Metoprolol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'Mean Cp_PK'!$GD$45:$GD$57</c:f>
              <c:numCache>
                <c:formatCode>0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10</c:v>
                </c:pt>
                <c:pt idx="6">
                  <c:v>12</c:v>
                </c:pt>
                <c:pt idx="7">
                  <c:v>15</c:v>
                </c:pt>
                <c:pt idx="8">
                  <c:v>18</c:v>
                </c:pt>
                <c:pt idx="9">
                  <c:v>21</c:v>
                </c:pt>
                <c:pt idx="10">
                  <c:v>24</c:v>
                </c:pt>
                <c:pt idx="11">
                  <c:v>28</c:v>
                </c:pt>
                <c:pt idx="12">
                  <c:v>32</c:v>
                </c:pt>
              </c:numCache>
            </c:numRef>
          </c:xVal>
          <c:yVal>
            <c:numRef>
              <c:f>'Mean Cp_PK'!$GE$45:$GE$57</c:f>
              <c:numCache>
                <c:formatCode>0.0</c:formatCode>
                <c:ptCount val="13"/>
                <c:pt idx="0">
                  <c:v>0</c:v>
                </c:pt>
                <c:pt idx="1">
                  <c:v>22.1</c:v>
                </c:pt>
                <c:pt idx="2">
                  <c:v>64.2</c:v>
                </c:pt>
                <c:pt idx="3">
                  <c:v>69.599999999999994</c:v>
                </c:pt>
                <c:pt idx="4">
                  <c:v>76.8</c:v>
                </c:pt>
                <c:pt idx="5">
                  <c:v>76.099999999999994</c:v>
                </c:pt>
                <c:pt idx="6">
                  <c:v>66.900000000000006</c:v>
                </c:pt>
                <c:pt idx="7">
                  <c:v>45</c:v>
                </c:pt>
                <c:pt idx="8">
                  <c:v>31.8</c:v>
                </c:pt>
                <c:pt idx="9">
                  <c:v>23.4</c:v>
                </c:pt>
                <c:pt idx="10">
                  <c:v>17.600000000000001</c:v>
                </c:pt>
                <c:pt idx="11">
                  <c:v>9.01</c:v>
                </c:pt>
                <c:pt idx="12">
                  <c:v>6.31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7015328"/>
        <c:axId val="527016896"/>
      </c:scatterChart>
      <c:valAx>
        <c:axId val="527015328"/>
        <c:scaling>
          <c:orientation val="minMax"/>
          <c:max val="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016896"/>
        <c:crosses val="autoZero"/>
        <c:crossBetween val="midCat"/>
        <c:majorUnit val="2"/>
      </c:valAx>
      <c:valAx>
        <c:axId val="52701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Cp ng/ml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0153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265220888313477"/>
          <c:y val="9.2767348718088449E-2"/>
          <c:w val="0.31354501582976491"/>
          <c:h val="0.257558511526545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Metoprolol</a:t>
            </a:r>
            <a:r>
              <a:rPr lang="en-US" baseline="0"/>
              <a:t> Sandberg1988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0.17171296296296296"/>
          <c:w val="0.84243241469816255"/>
          <c:h val="0.622716170895304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'Mean Cp_PK'!$ID$8</c:f>
              <c:strCache>
                <c:ptCount val="1"/>
                <c:pt idx="0">
                  <c:v>Seloken Duriles 200mg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'Mean Cp_PK'!$ID$45:$ID$57</c:f>
              <c:numCache>
                <c:formatCode>General</c:formatCode>
                <c:ptCount val="13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10</c:v>
                </c:pt>
                <c:pt idx="10">
                  <c:v>12</c:v>
                </c:pt>
                <c:pt idx="11">
                  <c:v>24</c:v>
                </c:pt>
                <c:pt idx="12">
                  <c:v>25</c:v>
                </c:pt>
              </c:numCache>
            </c:numRef>
          </c:xVal>
          <c:yVal>
            <c:numRef>
              <c:f>'Mean Cp_PK'!$IE$45:$IE$57</c:f>
              <c:numCache>
                <c:formatCode>0.0</c:formatCode>
                <c:ptCount val="13"/>
                <c:pt idx="0">
                  <c:v>0.98403200000000013</c:v>
                </c:pt>
                <c:pt idx="1">
                  <c:v>35.564200000000007</c:v>
                </c:pt>
                <c:pt idx="2">
                  <c:v>64.710800000000006</c:v>
                </c:pt>
                <c:pt idx="3">
                  <c:v>100.27500000000001</c:v>
                </c:pt>
                <c:pt idx="4">
                  <c:v>125.94540000000001</c:v>
                </c:pt>
                <c:pt idx="5">
                  <c:v>128.88680000000002</c:v>
                </c:pt>
                <c:pt idx="6">
                  <c:v>118.99300000000001</c:v>
                </c:pt>
                <c:pt idx="7">
                  <c:v>112.84280000000001</c:v>
                </c:pt>
                <c:pt idx="8">
                  <c:v>95.461800000000011</c:v>
                </c:pt>
                <c:pt idx="9">
                  <c:v>84.231000000000009</c:v>
                </c:pt>
                <c:pt idx="10">
                  <c:v>68.989200000000011</c:v>
                </c:pt>
                <c:pt idx="11">
                  <c:v>27.809600000000003</c:v>
                </c:pt>
                <c:pt idx="12">
                  <c:v>23.210320000000003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'Mean Cp_PK'!$IL$8</c:f>
              <c:strCache>
                <c:ptCount val="1"/>
                <c:pt idx="0">
                  <c:v>Lopressor SR 200mg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'Mean Cp_PK'!$IL$45:$IL$57</c:f>
              <c:numCache>
                <c:formatCode>General</c:formatCode>
                <c:ptCount val="13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10</c:v>
                </c:pt>
                <c:pt idx="10">
                  <c:v>12</c:v>
                </c:pt>
                <c:pt idx="11">
                  <c:v>24</c:v>
                </c:pt>
                <c:pt idx="12">
                  <c:v>25</c:v>
                </c:pt>
              </c:numCache>
            </c:numRef>
          </c:xVal>
          <c:yVal>
            <c:numRef>
              <c:f>'Mean Cp_PK'!$IM$45:$IM$57</c:f>
              <c:numCache>
                <c:formatCode>0.0</c:formatCode>
                <c:ptCount val="13"/>
                <c:pt idx="0">
                  <c:v>1.941324</c:v>
                </c:pt>
                <c:pt idx="1">
                  <c:v>52.143000000000008</c:v>
                </c:pt>
                <c:pt idx="2">
                  <c:v>64.176000000000002</c:v>
                </c:pt>
                <c:pt idx="3">
                  <c:v>101.0772</c:v>
                </c:pt>
                <c:pt idx="4">
                  <c:v>134.76960000000003</c:v>
                </c:pt>
                <c:pt idx="5">
                  <c:v>163.9162</c:v>
                </c:pt>
                <c:pt idx="6">
                  <c:v>154.0224</c:v>
                </c:pt>
                <c:pt idx="7">
                  <c:v>146.80260000000001</c:v>
                </c:pt>
                <c:pt idx="8">
                  <c:v>133.16520000000003</c:v>
                </c:pt>
                <c:pt idx="9">
                  <c:v>108.56440000000001</c:v>
                </c:pt>
                <c:pt idx="10">
                  <c:v>84.765800000000013</c:v>
                </c:pt>
                <c:pt idx="11">
                  <c:v>22.167460000000005</c:v>
                </c:pt>
                <c:pt idx="12">
                  <c:v>18.450600000000001</c:v>
                </c:pt>
              </c:numCache>
            </c:numRef>
          </c:yVal>
          <c:smooth val="0"/>
        </c:ser>
        <c:ser>
          <c:idx val="4"/>
          <c:order val="2"/>
          <c:tx>
            <c:strRef>
              <c:f>'Mean Cp_PK'!$HR$8</c:f>
              <c:strCache>
                <c:ptCount val="1"/>
                <c:pt idx="0">
                  <c:v>ZOK 200mg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'Mean Cp_PK'!$HR$45:$HR$55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14</c:v>
                </c:pt>
                <c:pt idx="10">
                  <c:v>24</c:v>
                </c:pt>
              </c:numCache>
            </c:numRef>
          </c:xVal>
          <c:yVal>
            <c:numRef>
              <c:f>'Mean Cp_PK'!$HS$45:$HS$55</c:f>
              <c:numCache>
                <c:formatCode>0.0</c:formatCode>
                <c:ptCount val="11"/>
                <c:pt idx="0">
                  <c:v>19.573680000000003</c:v>
                </c:pt>
                <c:pt idx="1">
                  <c:v>35.029400000000003</c:v>
                </c:pt>
                <c:pt idx="2">
                  <c:v>50.003800000000005</c:v>
                </c:pt>
                <c:pt idx="3">
                  <c:v>60.967200000000005</c:v>
                </c:pt>
                <c:pt idx="4">
                  <c:v>60.967200000000005</c:v>
                </c:pt>
                <c:pt idx="5">
                  <c:v>63.908600000000007</c:v>
                </c:pt>
                <c:pt idx="6">
                  <c:v>62.304200000000009</c:v>
                </c:pt>
                <c:pt idx="7">
                  <c:v>62.571600000000004</c:v>
                </c:pt>
                <c:pt idx="8">
                  <c:v>62.036800000000007</c:v>
                </c:pt>
                <c:pt idx="9">
                  <c:v>64.978200000000001</c:v>
                </c:pt>
                <c:pt idx="10">
                  <c:v>41.981800000000007</c:v>
                </c:pt>
              </c:numCache>
            </c:numRef>
          </c:yVal>
          <c:smooth val="0"/>
        </c:ser>
        <c:ser>
          <c:idx val="5"/>
          <c:order val="3"/>
          <c:tx>
            <c:strRef>
              <c:f>'Mean Cp_PK'!$HR$8</c:f>
              <c:strCache>
                <c:ptCount val="1"/>
                <c:pt idx="0">
                  <c:v>ZOK 200mg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'Mean Cp_PK'!$HR$45:$HR$55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14</c:v>
                </c:pt>
                <c:pt idx="10">
                  <c:v>24</c:v>
                </c:pt>
              </c:numCache>
            </c:numRef>
          </c:xVal>
          <c:yVal>
            <c:numRef>
              <c:f>'Mean Cp_PK'!$HS$45:$HS$55</c:f>
              <c:numCache>
                <c:formatCode>0.0</c:formatCode>
                <c:ptCount val="11"/>
                <c:pt idx="0">
                  <c:v>19.573680000000003</c:v>
                </c:pt>
                <c:pt idx="1">
                  <c:v>35.029400000000003</c:v>
                </c:pt>
                <c:pt idx="2">
                  <c:v>50.003800000000005</c:v>
                </c:pt>
                <c:pt idx="3">
                  <c:v>60.967200000000005</c:v>
                </c:pt>
                <c:pt idx="4">
                  <c:v>60.967200000000005</c:v>
                </c:pt>
                <c:pt idx="5">
                  <c:v>63.908600000000007</c:v>
                </c:pt>
                <c:pt idx="6">
                  <c:v>62.304200000000009</c:v>
                </c:pt>
                <c:pt idx="7">
                  <c:v>62.571600000000004</c:v>
                </c:pt>
                <c:pt idx="8">
                  <c:v>62.036800000000007</c:v>
                </c:pt>
                <c:pt idx="9">
                  <c:v>64.978200000000001</c:v>
                </c:pt>
                <c:pt idx="10">
                  <c:v>41.981800000000007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7017288"/>
        <c:axId val="527254032"/>
      </c:scatterChart>
      <c:valAx>
        <c:axId val="527017288"/>
        <c:scaling>
          <c:orientation val="minMax"/>
          <c:max val="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254032"/>
        <c:crosses val="autoZero"/>
        <c:crossBetween val="midCat"/>
        <c:majorUnit val="2"/>
      </c:valAx>
      <c:valAx>
        <c:axId val="52725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Cp ng/ml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0172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138549271979784"/>
          <c:y val="0.2081076024666467"/>
          <c:w val="0.33667809740744886"/>
          <c:h val="0.515117023053090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 human N=5 5mg metoprolol tartrate solution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705336832895889"/>
          <c:y val="0.17171296296296296"/>
          <c:w val="0.77516119860017496"/>
          <c:h val="0.622716170895304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'Mean Cp_PK'!$AP$16</c:f>
              <c:strCache>
                <c:ptCount val="1"/>
                <c:pt idx="0">
                  <c:v>iv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'Mean Cp_PK'!$AP$45:$AP$63</c:f>
              <c:numCache>
                <c:formatCode>0.00</c:formatCode>
                <c:ptCount val="19"/>
                <c:pt idx="0">
                  <c:v>0.17899999999999999</c:v>
                </c:pt>
                <c:pt idx="1">
                  <c:v>0.20300000000000001</c:v>
                </c:pt>
                <c:pt idx="2">
                  <c:v>0.314</c:v>
                </c:pt>
                <c:pt idx="3">
                  <c:v>0.374</c:v>
                </c:pt>
                <c:pt idx="4">
                  <c:v>0.55800000000000005</c:v>
                </c:pt>
                <c:pt idx="5">
                  <c:v>0.71699999999999997</c:v>
                </c:pt>
                <c:pt idx="6">
                  <c:v>0.90100000000000002</c:v>
                </c:pt>
                <c:pt idx="7">
                  <c:v>1</c:v>
                </c:pt>
                <c:pt idx="8">
                  <c:v>1.5</c:v>
                </c:pt>
                <c:pt idx="9">
                  <c:v>1.75</c:v>
                </c:pt>
                <c:pt idx="10">
                  <c:v>2.08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  <c:pt idx="16">
                  <c:v>8</c:v>
                </c:pt>
                <c:pt idx="17">
                  <c:v>10</c:v>
                </c:pt>
                <c:pt idx="18">
                  <c:v>12</c:v>
                </c:pt>
              </c:numCache>
            </c:numRef>
          </c:xVal>
          <c:yVal>
            <c:numRef>
              <c:f>'Mean Cp_PK'!$AQ$45:$AQ$63</c:f>
              <c:numCache>
                <c:formatCode>0.00</c:formatCode>
                <c:ptCount val="19"/>
                <c:pt idx="0">
                  <c:v>21.5</c:v>
                </c:pt>
                <c:pt idx="1">
                  <c:v>17</c:v>
                </c:pt>
                <c:pt idx="2">
                  <c:v>18</c:v>
                </c:pt>
                <c:pt idx="3">
                  <c:v>15</c:v>
                </c:pt>
                <c:pt idx="4">
                  <c:v>13.3</c:v>
                </c:pt>
                <c:pt idx="5">
                  <c:v>11.9</c:v>
                </c:pt>
                <c:pt idx="6">
                  <c:v>11.7</c:v>
                </c:pt>
                <c:pt idx="7">
                  <c:v>10.7</c:v>
                </c:pt>
                <c:pt idx="8">
                  <c:v>10.3</c:v>
                </c:pt>
                <c:pt idx="9">
                  <c:v>9.2799999999999994</c:v>
                </c:pt>
                <c:pt idx="10">
                  <c:v>8.81</c:v>
                </c:pt>
                <c:pt idx="11">
                  <c:v>7.21</c:v>
                </c:pt>
                <c:pt idx="12">
                  <c:v>5.59</c:v>
                </c:pt>
                <c:pt idx="13">
                  <c:v>5.18</c:v>
                </c:pt>
                <c:pt idx="14">
                  <c:v>4.0199999999999996</c:v>
                </c:pt>
                <c:pt idx="15">
                  <c:v>3.29</c:v>
                </c:pt>
                <c:pt idx="16">
                  <c:v>2.71</c:v>
                </c:pt>
                <c:pt idx="17">
                  <c:v>1.57</c:v>
                </c:pt>
                <c:pt idx="18">
                  <c:v>1.08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'Mean Cp_PK'!$AT$16</c:f>
              <c:strCache>
                <c:ptCount val="1"/>
                <c:pt idx="0">
                  <c:v>po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'Mean Cp_PK'!$AT$45:$AT$60</c:f>
              <c:numCache>
                <c:formatCode>0.00</c:formatCode>
                <c:ptCount val="16"/>
                <c:pt idx="0">
                  <c:v>0.314</c:v>
                </c:pt>
                <c:pt idx="1">
                  <c:v>0.443</c:v>
                </c:pt>
                <c:pt idx="2">
                  <c:v>0.61399999999999999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2.5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7</c:v>
                </c:pt>
                <c:pt idx="15">
                  <c:v>8</c:v>
                </c:pt>
              </c:numCache>
            </c:numRef>
          </c:xVal>
          <c:yVal>
            <c:numRef>
              <c:f>'Mean Cp_PK'!$AU$45:$AU$60</c:f>
              <c:numCache>
                <c:formatCode>0.00</c:formatCode>
                <c:ptCount val="16"/>
                <c:pt idx="0">
                  <c:v>1.67</c:v>
                </c:pt>
                <c:pt idx="1">
                  <c:v>5.22</c:v>
                </c:pt>
                <c:pt idx="2">
                  <c:v>5.99</c:v>
                </c:pt>
                <c:pt idx="3">
                  <c:v>6.94</c:v>
                </c:pt>
                <c:pt idx="4">
                  <c:v>7.17</c:v>
                </c:pt>
                <c:pt idx="5">
                  <c:v>5.47</c:v>
                </c:pt>
                <c:pt idx="6">
                  <c:v>5.41</c:v>
                </c:pt>
                <c:pt idx="7">
                  <c:v>4.8600000000000003</c:v>
                </c:pt>
                <c:pt idx="8">
                  <c:v>4.57</c:v>
                </c:pt>
                <c:pt idx="9">
                  <c:v>4.17</c:v>
                </c:pt>
                <c:pt idx="10">
                  <c:v>3.62</c:v>
                </c:pt>
                <c:pt idx="11">
                  <c:v>2.91</c:v>
                </c:pt>
                <c:pt idx="12">
                  <c:v>2.04</c:v>
                </c:pt>
                <c:pt idx="13">
                  <c:v>1.6</c:v>
                </c:pt>
                <c:pt idx="14">
                  <c:v>1.45</c:v>
                </c:pt>
                <c:pt idx="15">
                  <c:v>0.91300000000000003</c:v>
                </c:pt>
              </c:numCache>
            </c:numRef>
          </c:yVal>
          <c:smooth val="0"/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'Mean Cp_PK'!$AP$45:$AP$63</c:f>
              <c:numCache>
                <c:formatCode>0.00</c:formatCode>
                <c:ptCount val="19"/>
                <c:pt idx="0">
                  <c:v>0.17899999999999999</c:v>
                </c:pt>
                <c:pt idx="1">
                  <c:v>0.20300000000000001</c:v>
                </c:pt>
                <c:pt idx="2">
                  <c:v>0.314</c:v>
                </c:pt>
                <c:pt idx="3">
                  <c:v>0.374</c:v>
                </c:pt>
                <c:pt idx="4">
                  <c:v>0.55800000000000005</c:v>
                </c:pt>
                <c:pt idx="5">
                  <c:v>0.71699999999999997</c:v>
                </c:pt>
                <c:pt idx="6">
                  <c:v>0.90100000000000002</c:v>
                </c:pt>
                <c:pt idx="7">
                  <c:v>1</c:v>
                </c:pt>
                <c:pt idx="8">
                  <c:v>1.5</c:v>
                </c:pt>
                <c:pt idx="9">
                  <c:v>1.75</c:v>
                </c:pt>
                <c:pt idx="10">
                  <c:v>2.08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  <c:pt idx="16">
                  <c:v>8</c:v>
                </c:pt>
                <c:pt idx="17">
                  <c:v>10</c:v>
                </c:pt>
                <c:pt idx="18">
                  <c:v>12</c:v>
                </c:pt>
              </c:numCache>
            </c:numRef>
          </c:xVal>
          <c:yVal>
            <c:numRef>
              <c:f>'Mean Cp_PK'!$AP$9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2240736"/>
        <c:axId val="532241912"/>
      </c:scatterChart>
      <c:valAx>
        <c:axId val="532240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241912"/>
        <c:crosses val="autoZero"/>
        <c:crossBetween val="midCat"/>
      </c:valAx>
      <c:valAx>
        <c:axId val="532241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Cp ng/ml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2407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548993875766"/>
          <c:y val="0.23284594634004083"/>
          <c:w val="0.18377843394575677"/>
          <c:h val="0.312502187226596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'Mean Cp_PK'!$JS$44</c:f>
              <c:strCache>
                <c:ptCount val="1"/>
                <c:pt idx="0">
                  <c:v>Cp (ng/mL)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'Mean Cp_PK'!$JR$45:$JR$60</c:f>
              <c:numCache>
                <c:formatCode>0.00</c:formatCode>
                <c:ptCount val="16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1.5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8</c:v>
                </c:pt>
                <c:pt idx="12">
                  <c:v>12</c:v>
                </c:pt>
                <c:pt idx="13">
                  <c:v>24</c:v>
                </c:pt>
                <c:pt idx="14">
                  <c:v>36</c:v>
                </c:pt>
                <c:pt idx="15">
                  <c:v>48</c:v>
                </c:pt>
              </c:numCache>
            </c:numRef>
          </c:xVal>
          <c:yVal>
            <c:numRef>
              <c:f>'Mean Cp_PK'!$JS$45:$JS$60</c:f>
              <c:numCache>
                <c:formatCode>0.00</c:formatCode>
                <c:ptCount val="16"/>
                <c:pt idx="0">
                  <c:v>0</c:v>
                </c:pt>
                <c:pt idx="1">
                  <c:v>6.96</c:v>
                </c:pt>
                <c:pt idx="2">
                  <c:v>29.9</c:v>
                </c:pt>
                <c:pt idx="3">
                  <c:v>57.4</c:v>
                </c:pt>
                <c:pt idx="4">
                  <c:v>74.400000000000006</c:v>
                </c:pt>
                <c:pt idx="5">
                  <c:v>104</c:v>
                </c:pt>
                <c:pt idx="6">
                  <c:v>101</c:v>
                </c:pt>
                <c:pt idx="7">
                  <c:v>92.9</c:v>
                </c:pt>
                <c:pt idx="8">
                  <c:v>81.400000000000006</c:v>
                </c:pt>
                <c:pt idx="9">
                  <c:v>69.900000000000006</c:v>
                </c:pt>
                <c:pt idx="10">
                  <c:v>64</c:v>
                </c:pt>
                <c:pt idx="11">
                  <c:v>47.7</c:v>
                </c:pt>
                <c:pt idx="12">
                  <c:v>27.1</c:v>
                </c:pt>
                <c:pt idx="13">
                  <c:v>5.22</c:v>
                </c:pt>
                <c:pt idx="14">
                  <c:v>0.69599999999999995</c:v>
                </c:pt>
                <c:pt idx="15">
                  <c:v>0.34799999999999998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7256384"/>
        <c:axId val="527254424"/>
      </c:scatterChart>
      <c:valAx>
        <c:axId val="527256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254424"/>
        <c:crosses val="autoZero"/>
        <c:crossBetween val="midCat"/>
      </c:valAx>
      <c:valAx>
        <c:axId val="527254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256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Metoprolol</a:t>
            </a:r>
            <a:r>
              <a:rPr lang="en-US" baseline="0"/>
              <a:t> HCT 50/25mg Gao2010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0.17171296296296296"/>
          <c:w val="0.84243241469816255"/>
          <c:h val="0.62271617089530473"/>
        </c:manualLayout>
      </c:layout>
      <c:scatterChart>
        <c:scatterStyle val="lineMarker"/>
        <c:varyColors val="0"/>
        <c:ser>
          <c:idx val="0"/>
          <c:order val="0"/>
          <c:tx>
            <c:v>Metoprolol 50mg IR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'Mean Cp_PK'!$JR$45:$JR$60</c:f>
              <c:numCache>
                <c:formatCode>0.00</c:formatCode>
                <c:ptCount val="16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1.5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8</c:v>
                </c:pt>
                <c:pt idx="12">
                  <c:v>12</c:v>
                </c:pt>
                <c:pt idx="13">
                  <c:v>24</c:v>
                </c:pt>
                <c:pt idx="14">
                  <c:v>36</c:v>
                </c:pt>
                <c:pt idx="15">
                  <c:v>48</c:v>
                </c:pt>
              </c:numCache>
            </c:numRef>
          </c:xVal>
          <c:yVal>
            <c:numRef>
              <c:f>'Mean Cp_PK'!$JS$45:$JS$60</c:f>
              <c:numCache>
                <c:formatCode>0.00</c:formatCode>
                <c:ptCount val="16"/>
                <c:pt idx="0">
                  <c:v>0</c:v>
                </c:pt>
                <c:pt idx="1">
                  <c:v>6.96</c:v>
                </c:pt>
                <c:pt idx="2">
                  <c:v>29.9</c:v>
                </c:pt>
                <c:pt idx="3">
                  <c:v>57.4</c:v>
                </c:pt>
                <c:pt idx="4">
                  <c:v>74.400000000000006</c:v>
                </c:pt>
                <c:pt idx="5">
                  <c:v>104</c:v>
                </c:pt>
                <c:pt idx="6">
                  <c:v>101</c:v>
                </c:pt>
                <c:pt idx="7">
                  <c:v>92.9</c:v>
                </c:pt>
                <c:pt idx="8">
                  <c:v>81.400000000000006</c:v>
                </c:pt>
                <c:pt idx="9">
                  <c:v>69.900000000000006</c:v>
                </c:pt>
                <c:pt idx="10">
                  <c:v>64</c:v>
                </c:pt>
                <c:pt idx="11">
                  <c:v>47.7</c:v>
                </c:pt>
                <c:pt idx="12">
                  <c:v>27.1</c:v>
                </c:pt>
                <c:pt idx="13">
                  <c:v>5.22</c:v>
                </c:pt>
                <c:pt idx="14">
                  <c:v>0.69599999999999995</c:v>
                </c:pt>
                <c:pt idx="15">
                  <c:v>0.34799999999999998</c:v>
                </c:pt>
              </c:numCache>
            </c:numRef>
          </c:yVal>
          <c:smooth val="0"/>
        </c:ser>
        <c:ser>
          <c:idx val="1"/>
          <c:order val="1"/>
          <c:tx>
            <c:v>HCT 25mg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'Mean Cp_PK'!$JV$45:$JV$60</c:f>
              <c:numCache>
                <c:formatCode>0.00</c:formatCode>
                <c:ptCount val="16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1.5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8</c:v>
                </c:pt>
                <c:pt idx="12">
                  <c:v>12</c:v>
                </c:pt>
                <c:pt idx="13">
                  <c:v>24</c:v>
                </c:pt>
                <c:pt idx="14">
                  <c:v>36</c:v>
                </c:pt>
                <c:pt idx="15">
                  <c:v>48</c:v>
                </c:pt>
              </c:numCache>
            </c:numRef>
          </c:xVal>
          <c:yVal>
            <c:numRef>
              <c:f>'Mean Cp_PK'!$JW$45:$JW$60</c:f>
              <c:numCache>
                <c:formatCode>0.00</c:formatCode>
                <c:ptCount val="16"/>
                <c:pt idx="0">
                  <c:v>0</c:v>
                </c:pt>
                <c:pt idx="1">
                  <c:v>6.22</c:v>
                </c:pt>
                <c:pt idx="2">
                  <c:v>24.9</c:v>
                </c:pt>
                <c:pt idx="3">
                  <c:v>53.9</c:v>
                </c:pt>
                <c:pt idx="4">
                  <c:v>98.8</c:v>
                </c:pt>
                <c:pt idx="5">
                  <c:v>180</c:v>
                </c:pt>
                <c:pt idx="6">
                  <c:v>201</c:v>
                </c:pt>
                <c:pt idx="7">
                  <c:v>182</c:v>
                </c:pt>
                <c:pt idx="8">
                  <c:v>151</c:v>
                </c:pt>
                <c:pt idx="9">
                  <c:v>129</c:v>
                </c:pt>
                <c:pt idx="10">
                  <c:v>98.8</c:v>
                </c:pt>
                <c:pt idx="11">
                  <c:v>64.3</c:v>
                </c:pt>
                <c:pt idx="12">
                  <c:v>40.799999999999997</c:v>
                </c:pt>
                <c:pt idx="13">
                  <c:v>14.5</c:v>
                </c:pt>
                <c:pt idx="14">
                  <c:v>5.53</c:v>
                </c:pt>
                <c:pt idx="15">
                  <c:v>2.76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7257168"/>
        <c:axId val="527255600"/>
      </c:scatterChart>
      <c:valAx>
        <c:axId val="527257168"/>
        <c:scaling>
          <c:orientation val="minMax"/>
          <c:max val="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255600"/>
        <c:crosses val="autoZero"/>
        <c:crossBetween val="midCat"/>
        <c:majorUnit val="2"/>
      </c:valAx>
      <c:valAx>
        <c:axId val="527255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Cp ng/ml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257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6300061392236744"/>
          <c:y val="0.2081076024666467"/>
          <c:w val="0.32574720814453773"/>
          <c:h val="0.156051478332797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Metoprolol</a:t>
            </a:r>
            <a:r>
              <a:rPr lang="en-US" baseline="0"/>
              <a:t> Lecaillon 1985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0.17171296296296296"/>
          <c:w val="0.84243241469816255"/>
          <c:h val="0.622716170895304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'Mean Cp_PK'!$GD$14</c:f>
              <c:strCache>
                <c:ptCount val="1"/>
                <c:pt idx="0">
                  <c:v>fasted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'Mean Cp_PK'!$GD$45:$GD$57</c:f>
              <c:numCache>
                <c:formatCode>0</c:formatCode>
                <c:ptCount val="13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10</c:v>
                </c:pt>
                <c:pt idx="6">
                  <c:v>12</c:v>
                </c:pt>
                <c:pt idx="7">
                  <c:v>15</c:v>
                </c:pt>
                <c:pt idx="8">
                  <c:v>18</c:v>
                </c:pt>
                <c:pt idx="9">
                  <c:v>21</c:v>
                </c:pt>
                <c:pt idx="10">
                  <c:v>24</c:v>
                </c:pt>
                <c:pt idx="11">
                  <c:v>28</c:v>
                </c:pt>
                <c:pt idx="12">
                  <c:v>32</c:v>
                </c:pt>
              </c:numCache>
            </c:numRef>
          </c:xVal>
          <c:yVal>
            <c:numRef>
              <c:f>'Mean Cp_PK'!$GE$45:$GE$57</c:f>
              <c:numCache>
                <c:formatCode>0.0</c:formatCode>
                <c:ptCount val="13"/>
                <c:pt idx="0">
                  <c:v>0</c:v>
                </c:pt>
                <c:pt idx="1">
                  <c:v>22.1</c:v>
                </c:pt>
                <c:pt idx="2">
                  <c:v>64.2</c:v>
                </c:pt>
                <c:pt idx="3">
                  <c:v>69.599999999999994</c:v>
                </c:pt>
                <c:pt idx="4">
                  <c:v>76.8</c:v>
                </c:pt>
                <c:pt idx="5">
                  <c:v>76.099999999999994</c:v>
                </c:pt>
                <c:pt idx="6">
                  <c:v>66.900000000000006</c:v>
                </c:pt>
                <c:pt idx="7">
                  <c:v>45</c:v>
                </c:pt>
                <c:pt idx="8">
                  <c:v>31.8</c:v>
                </c:pt>
                <c:pt idx="9">
                  <c:v>23.4</c:v>
                </c:pt>
                <c:pt idx="10">
                  <c:v>17.600000000000001</c:v>
                </c:pt>
                <c:pt idx="11">
                  <c:v>9.01</c:v>
                </c:pt>
                <c:pt idx="12">
                  <c:v>6.31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'Mean Cp_PK'!$GH$14</c:f>
              <c:strCache>
                <c:ptCount val="1"/>
                <c:pt idx="0">
                  <c:v>fed breakfeast 300kcal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'Mean Cp_PK'!$GH$45:$GH$58</c:f>
              <c:numCache>
                <c:formatCode>0</c:formatCode>
                <c:ptCount val="14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15</c:v>
                </c:pt>
                <c:pt idx="9">
                  <c:v>18</c:v>
                </c:pt>
                <c:pt idx="10">
                  <c:v>21</c:v>
                </c:pt>
                <c:pt idx="11">
                  <c:v>24</c:v>
                </c:pt>
                <c:pt idx="12">
                  <c:v>28</c:v>
                </c:pt>
                <c:pt idx="13">
                  <c:v>32</c:v>
                </c:pt>
              </c:numCache>
            </c:numRef>
          </c:xVal>
          <c:yVal>
            <c:numRef>
              <c:f>'Mean Cp_PK'!$GI$45:$GI$58</c:f>
              <c:numCache>
                <c:formatCode>0.0</c:formatCode>
                <c:ptCount val="14"/>
                <c:pt idx="0">
                  <c:v>0</c:v>
                </c:pt>
                <c:pt idx="1">
                  <c:v>26.6</c:v>
                </c:pt>
                <c:pt idx="2">
                  <c:v>38.700000000000003</c:v>
                </c:pt>
                <c:pt idx="3">
                  <c:v>49.5</c:v>
                </c:pt>
                <c:pt idx="4">
                  <c:v>82.9</c:v>
                </c:pt>
                <c:pt idx="5">
                  <c:v>79.7</c:v>
                </c:pt>
                <c:pt idx="6">
                  <c:v>71.2</c:v>
                </c:pt>
                <c:pt idx="7">
                  <c:v>74.099999999999994</c:v>
                </c:pt>
                <c:pt idx="8">
                  <c:v>50.9</c:v>
                </c:pt>
                <c:pt idx="9">
                  <c:v>34.9</c:v>
                </c:pt>
                <c:pt idx="10">
                  <c:v>18.899999999999999</c:v>
                </c:pt>
                <c:pt idx="11">
                  <c:v>12.6</c:v>
                </c:pt>
                <c:pt idx="12">
                  <c:v>4.95</c:v>
                </c:pt>
                <c:pt idx="13">
                  <c:v>1.8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7253640"/>
        <c:axId val="527255992"/>
      </c:scatterChart>
      <c:valAx>
        <c:axId val="527253640"/>
        <c:scaling>
          <c:orientation val="minMax"/>
          <c:max val="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255992"/>
        <c:crosses val="autoZero"/>
        <c:crossBetween val="midCat"/>
        <c:majorUnit val="2"/>
      </c:valAx>
      <c:valAx>
        <c:axId val="52725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Cp ng/ml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253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173931465222735"/>
          <c:y val="0.16701788259729022"/>
          <c:w val="0.33826068534777265"/>
          <c:h val="0.40605945226392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Metoprolol</a:t>
            </a:r>
            <a:r>
              <a:rPr lang="en-US" baseline="0"/>
              <a:t> human Study Grainger1985 day1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15048118985127"/>
          <c:y val="0.17171296296296296"/>
          <c:w val="0.80197375328083986"/>
          <c:h val="0.62271617089530473"/>
        </c:manualLayout>
      </c:layout>
      <c:scatterChart>
        <c:scatterStyle val="lineMarker"/>
        <c:varyColors val="0"/>
        <c:ser>
          <c:idx val="0"/>
          <c:order val="0"/>
          <c:tx>
            <c:v>IR Tablet 2*100mg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'Mean Cp_PK'!$DJ$45:$DJ$54</c:f>
              <c:numCache>
                <c:formatCode>0.00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12</c:v>
                </c:pt>
                <c:pt idx="7">
                  <c:v>14</c:v>
                </c:pt>
                <c:pt idx="8">
                  <c:v>20</c:v>
                </c:pt>
                <c:pt idx="9">
                  <c:v>24</c:v>
                </c:pt>
              </c:numCache>
            </c:numRef>
          </c:xVal>
          <c:yVal>
            <c:numRef>
              <c:f>'Mean Cp_PK'!$DC$45:$DC$55</c:f>
              <c:numCache>
                <c:formatCode>0.00</c:formatCode>
                <c:ptCount val="11"/>
                <c:pt idx="0">
                  <c:v>0</c:v>
                </c:pt>
                <c:pt idx="1">
                  <c:v>76.2</c:v>
                </c:pt>
                <c:pt idx="2">
                  <c:v>131</c:v>
                </c:pt>
                <c:pt idx="3">
                  <c:v>103</c:v>
                </c:pt>
                <c:pt idx="4">
                  <c:v>98.2</c:v>
                </c:pt>
                <c:pt idx="5">
                  <c:v>73.7</c:v>
                </c:pt>
                <c:pt idx="6">
                  <c:v>30.6</c:v>
                </c:pt>
                <c:pt idx="7">
                  <c:v>13.6</c:v>
                </c:pt>
                <c:pt idx="8">
                  <c:v>132</c:v>
                </c:pt>
                <c:pt idx="9">
                  <c:v>66.599999999999994</c:v>
                </c:pt>
                <c:pt idx="10">
                  <c:v>28.9</c:v>
                </c:pt>
              </c:numCache>
            </c:numRef>
          </c:yVal>
          <c:smooth val="0"/>
        </c:ser>
        <c:ser>
          <c:idx val="1"/>
          <c:order val="1"/>
          <c:tx>
            <c:v>OROS 19/285 day 1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'Mean Cp_PK'!$DN$45:$DN$55</c:f>
              <c:numCache>
                <c:formatCode>0.00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9</c:v>
                </c:pt>
                <c:pt idx="7">
                  <c:v>12</c:v>
                </c:pt>
                <c:pt idx="8">
                  <c:v>14</c:v>
                </c:pt>
                <c:pt idx="9">
                  <c:v>20</c:v>
                </c:pt>
                <c:pt idx="10">
                  <c:v>24</c:v>
                </c:pt>
              </c:numCache>
            </c:numRef>
          </c:xVal>
          <c:yVal>
            <c:numRef>
              <c:f>'Mean Cp_PK'!$DG$45:$DG$55</c:f>
              <c:numCache>
                <c:formatCode>0.00</c:formatCode>
                <c:ptCount val="11"/>
                <c:pt idx="0">
                  <c:v>0</c:v>
                </c:pt>
                <c:pt idx="1">
                  <c:v>1.61</c:v>
                </c:pt>
                <c:pt idx="2">
                  <c:v>13.3</c:v>
                </c:pt>
                <c:pt idx="3">
                  <c:v>27.2</c:v>
                </c:pt>
                <c:pt idx="4">
                  <c:v>47.6</c:v>
                </c:pt>
                <c:pt idx="5">
                  <c:v>86.5</c:v>
                </c:pt>
                <c:pt idx="6">
                  <c:v>97.9</c:v>
                </c:pt>
                <c:pt idx="7">
                  <c:v>114</c:v>
                </c:pt>
                <c:pt idx="8">
                  <c:v>109</c:v>
                </c:pt>
                <c:pt idx="9">
                  <c:v>79.099999999999994</c:v>
                </c:pt>
                <c:pt idx="10">
                  <c:v>68.099999999999994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8718216"/>
        <c:axId val="748718608"/>
      </c:scatterChart>
      <c:valAx>
        <c:axId val="748718216"/>
        <c:scaling>
          <c:orientation val="minMax"/>
          <c:max val="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_Time 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718608"/>
        <c:crosses val="autoZero"/>
        <c:crossBetween val="midCat"/>
        <c:majorUnit val="2"/>
        <c:minorUnit val="1"/>
      </c:valAx>
      <c:valAx>
        <c:axId val="74871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Cp ng/ml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7182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945756780402454"/>
          <c:y val="0.1443048264800233"/>
          <c:w val="0.28054243219597552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Metoprolol</a:t>
            </a:r>
            <a:r>
              <a:rPr lang="en-US" baseline="0"/>
              <a:t> Sandberg1988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0.17171296296296296"/>
          <c:w val="0.84243241469816255"/>
          <c:h val="0.62271617089530473"/>
        </c:manualLayout>
      </c:layout>
      <c:scatterChart>
        <c:scatterStyle val="lineMarker"/>
        <c:varyColors val="0"/>
        <c:ser>
          <c:idx val="3"/>
          <c:order val="0"/>
          <c:tx>
            <c:strRef>
              <c:f>'Mean Cp_PK'!$IX$8</c:f>
              <c:strCache>
                <c:ptCount val="1"/>
                <c:pt idx="0">
                  <c:v>ZOK 50mg fasted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3"/>
              </a:solidFill>
              <a:ln w="12700">
                <a:solidFill>
                  <a:schemeClr val="tx1"/>
                </a:solidFill>
              </a:ln>
              <a:effectLst/>
            </c:spPr>
          </c:marker>
          <c:xVal>
            <c:numRef>
              <c:f>'Mean Cp_PK'!$IX$45:$IX$55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14</c:v>
                </c:pt>
                <c:pt idx="10">
                  <c:v>24</c:v>
                </c:pt>
              </c:numCache>
            </c:numRef>
          </c:xVal>
          <c:yVal>
            <c:numRef>
              <c:f>'Mean Cp_PK'!$IY$45:$IY$55</c:f>
              <c:numCache>
                <c:formatCode>0.0</c:formatCode>
                <c:ptCount val="11"/>
                <c:pt idx="0">
                  <c:v>1.1016880000000002</c:v>
                </c:pt>
                <c:pt idx="1">
                  <c:v>5.6688800000000006</c:v>
                </c:pt>
                <c:pt idx="2">
                  <c:v>9.1450800000000019</c:v>
                </c:pt>
                <c:pt idx="3">
                  <c:v>12.80846</c:v>
                </c:pt>
                <c:pt idx="4">
                  <c:v>13.370000000000001</c:v>
                </c:pt>
                <c:pt idx="5">
                  <c:v>13.370000000000001</c:v>
                </c:pt>
                <c:pt idx="6">
                  <c:v>15.562680000000002</c:v>
                </c:pt>
                <c:pt idx="7">
                  <c:v>14.546560000000001</c:v>
                </c:pt>
                <c:pt idx="8">
                  <c:v>16.578800000000001</c:v>
                </c:pt>
                <c:pt idx="9">
                  <c:v>17.487960000000005</c:v>
                </c:pt>
                <c:pt idx="10">
                  <c:v>14.091980000000001</c:v>
                </c:pt>
              </c:numCache>
            </c:numRef>
          </c:yVal>
          <c:smooth val="0"/>
        </c:ser>
        <c:ser>
          <c:idx val="4"/>
          <c:order val="1"/>
          <c:tx>
            <c:strRef>
              <c:f>'Mean Cp_PK'!$IT$8</c:f>
              <c:strCache>
                <c:ptCount val="1"/>
                <c:pt idx="0">
                  <c:v>ZOK 50mg fed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5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'Mean Cp_PK'!$IT$45:$IT$55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14</c:v>
                </c:pt>
                <c:pt idx="10">
                  <c:v>24</c:v>
                </c:pt>
              </c:numCache>
            </c:numRef>
          </c:xVal>
          <c:yVal>
            <c:numRef>
              <c:f>'Mean Cp_PK'!$IU$45:$IU$55</c:f>
              <c:numCache>
                <c:formatCode>0.0</c:formatCode>
                <c:ptCount val="11"/>
                <c:pt idx="0">
                  <c:v>2.1365260000000004</c:v>
                </c:pt>
                <c:pt idx="1">
                  <c:v>8.1022200000000009</c:v>
                </c:pt>
                <c:pt idx="2">
                  <c:v>11.2308</c:v>
                </c:pt>
                <c:pt idx="3">
                  <c:v>15.428980000000003</c:v>
                </c:pt>
                <c:pt idx="4">
                  <c:v>15.32202</c:v>
                </c:pt>
                <c:pt idx="5">
                  <c:v>14.840700000000002</c:v>
                </c:pt>
                <c:pt idx="6">
                  <c:v>16.41836</c:v>
                </c:pt>
                <c:pt idx="7">
                  <c:v>17.541440000000001</c:v>
                </c:pt>
                <c:pt idx="8">
                  <c:v>19.627160000000003</c:v>
                </c:pt>
                <c:pt idx="9">
                  <c:v>20.857200000000002</c:v>
                </c:pt>
                <c:pt idx="10">
                  <c:v>11.712120000000001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8719000"/>
        <c:axId val="748719784"/>
      </c:scatterChart>
      <c:valAx>
        <c:axId val="748719000"/>
        <c:scaling>
          <c:orientation val="minMax"/>
          <c:max val="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719784"/>
        <c:crosses val="autoZero"/>
        <c:crossBetween val="midCat"/>
        <c:majorUnit val="2"/>
      </c:valAx>
      <c:valAx>
        <c:axId val="748719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Cp ng/ml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7190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62733694699188"/>
          <c:y val="9.2767348718088449E-2"/>
          <c:w val="0.27637275147413731"/>
          <c:h val="0.390128695831993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 human N=11 50mg metoprolol tartrate solution Treatment A IntelliCap 6h linear</a:t>
            </a:r>
            <a:br>
              <a:rPr lang="en-US" sz="1400" b="0" i="0" u="none" strike="noStrike" baseline="0">
                <a:effectLst/>
              </a:rPr>
            </a:br>
            <a:r>
              <a:rPr lang="en-US" sz="1400" b="0" i="0" u="none" strike="noStrike" baseline="0">
                <a:effectLst/>
              </a:rPr>
              <a:t>3 selected individual plasma profiles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705336832895889"/>
          <c:y val="0.17171296296296296"/>
          <c:w val="0.77516119860017496"/>
          <c:h val="0.62271617089530473"/>
        </c:manualLayout>
      </c:layout>
      <c:scatterChart>
        <c:scatterStyle val="lineMarker"/>
        <c:varyColors val="0"/>
        <c:ser>
          <c:idx val="2"/>
          <c:order val="0"/>
          <c:tx>
            <c:v>10mg iv Ragadh1980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'Mean Cp_PK'!$BF$45:$BF$55</c:f>
              <c:numCache>
                <c:formatCode>0.00</c:formatCode>
                <c:ptCount val="11"/>
                <c:pt idx="0">
                  <c:v>8.3333333333333329E-2</c:v>
                </c:pt>
                <c:pt idx="1">
                  <c:v>0.16666666666666666</c:v>
                </c:pt>
                <c:pt idx="2">
                  <c:v>0.25</c:v>
                </c:pt>
                <c:pt idx="3">
                  <c:v>0.33333333333333331</c:v>
                </c:pt>
                <c:pt idx="4">
                  <c:v>0.5</c:v>
                </c:pt>
                <c:pt idx="5">
                  <c:v>0.66666666666666663</c:v>
                </c:pt>
                <c:pt idx="6">
                  <c:v>0.91666666666666663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8</c:v>
                </c:pt>
              </c:numCache>
            </c:numRef>
          </c:xVal>
          <c:yVal>
            <c:numRef>
              <c:f>'Mean Cp_PK'!$BG$45:$BG$55</c:f>
              <c:numCache>
                <c:formatCode>0.0</c:formatCode>
                <c:ptCount val="11"/>
                <c:pt idx="0">
                  <c:v>46.260200000000005</c:v>
                </c:pt>
                <c:pt idx="1">
                  <c:v>39.842600000000004</c:v>
                </c:pt>
                <c:pt idx="2">
                  <c:v>36.901200000000003</c:v>
                </c:pt>
                <c:pt idx="3">
                  <c:v>32.622800000000005</c:v>
                </c:pt>
                <c:pt idx="4">
                  <c:v>26.178460000000005</c:v>
                </c:pt>
                <c:pt idx="5">
                  <c:v>21.47222</c:v>
                </c:pt>
                <c:pt idx="6">
                  <c:v>18.798220000000001</c:v>
                </c:pt>
                <c:pt idx="7">
                  <c:v>13.423480000000001</c:v>
                </c:pt>
                <c:pt idx="8">
                  <c:v>11.17732</c:v>
                </c:pt>
                <c:pt idx="9">
                  <c:v>7.19306</c:v>
                </c:pt>
                <c:pt idx="10">
                  <c:v>4.5992800000000003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'Indiv Cp_PK'!$D$39</c:f>
              <c:strCache>
                <c:ptCount val="1"/>
                <c:pt idx="0">
                  <c:v>low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'Indiv Cp_PK'!$C$41:$C$54</c:f>
              <c:numCache>
                <c:formatCode>0.00</c:formatCode>
                <c:ptCount val="14"/>
                <c:pt idx="0">
                  <c:v>3.4299999999999997E-2</c:v>
                </c:pt>
                <c:pt idx="1">
                  <c:v>0.85699999999999998</c:v>
                </c:pt>
                <c:pt idx="2">
                  <c:v>1.1000000000000001</c:v>
                </c:pt>
                <c:pt idx="3">
                  <c:v>1.44</c:v>
                </c:pt>
                <c:pt idx="4">
                  <c:v>2.06</c:v>
                </c:pt>
                <c:pt idx="5">
                  <c:v>3.63</c:v>
                </c:pt>
                <c:pt idx="6">
                  <c:v>4.04</c:v>
                </c:pt>
                <c:pt idx="7">
                  <c:v>5.79</c:v>
                </c:pt>
                <c:pt idx="8">
                  <c:v>7.85</c:v>
                </c:pt>
                <c:pt idx="9">
                  <c:v>10.1</c:v>
                </c:pt>
                <c:pt idx="10">
                  <c:v>12.1</c:v>
                </c:pt>
                <c:pt idx="11">
                  <c:v>17.899999999999999</c:v>
                </c:pt>
                <c:pt idx="12">
                  <c:v>24.1</c:v>
                </c:pt>
                <c:pt idx="13">
                  <c:v>32.1</c:v>
                </c:pt>
              </c:numCache>
            </c:numRef>
          </c:xVal>
          <c:yVal>
            <c:numRef>
              <c:f>'Indiv Cp_PK'!$D$41:$D$54</c:f>
              <c:numCache>
                <c:formatCode>0.0</c:formatCode>
                <c:ptCount val="14"/>
                <c:pt idx="0">
                  <c:v>0.85835400000000006</c:v>
                </c:pt>
                <c:pt idx="1">
                  <c:v>25.269300000000001</c:v>
                </c:pt>
                <c:pt idx="2">
                  <c:v>38.238200000000006</c:v>
                </c:pt>
                <c:pt idx="3">
                  <c:v>45.190600000000003</c:v>
                </c:pt>
                <c:pt idx="4">
                  <c:v>46.260200000000005</c:v>
                </c:pt>
                <c:pt idx="5">
                  <c:v>30.216200000000004</c:v>
                </c:pt>
                <c:pt idx="6">
                  <c:v>24.360140000000001</c:v>
                </c:pt>
                <c:pt idx="7">
                  <c:v>14.920920000000001</c:v>
                </c:pt>
                <c:pt idx="8">
                  <c:v>11.952780000000002</c:v>
                </c:pt>
                <c:pt idx="9">
                  <c:v>4.8666800000000006</c:v>
                </c:pt>
                <c:pt idx="10">
                  <c:v>3.3692400000000005</c:v>
                </c:pt>
                <c:pt idx="11">
                  <c:v>0.94124800000000008</c:v>
                </c:pt>
                <c:pt idx="12">
                  <c:v>0</c:v>
                </c:pt>
                <c:pt idx="13">
                  <c:v>0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'Indiv Cp_PK'!$F$39</c:f>
              <c:strCache>
                <c:ptCount val="1"/>
                <c:pt idx="0">
                  <c:v>medium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'Indiv Cp_PK'!$E$41:$E$53</c:f>
              <c:numCache>
                <c:formatCode>0.0</c:formatCode>
                <c:ptCount val="13"/>
                <c:pt idx="0">
                  <c:v>6.8500000000000005E-2</c:v>
                </c:pt>
                <c:pt idx="1">
                  <c:v>0.95899999999999996</c:v>
                </c:pt>
                <c:pt idx="2">
                  <c:v>2.02</c:v>
                </c:pt>
                <c:pt idx="3">
                  <c:v>3.08</c:v>
                </c:pt>
                <c:pt idx="4">
                  <c:v>4.1500000000000004</c:v>
                </c:pt>
                <c:pt idx="5">
                  <c:v>5.96</c:v>
                </c:pt>
                <c:pt idx="6">
                  <c:v>7.06</c:v>
                </c:pt>
                <c:pt idx="7">
                  <c:v>8.26</c:v>
                </c:pt>
                <c:pt idx="8">
                  <c:v>10.3</c:v>
                </c:pt>
                <c:pt idx="9">
                  <c:v>12.2</c:v>
                </c:pt>
                <c:pt idx="10">
                  <c:v>18</c:v>
                </c:pt>
                <c:pt idx="11">
                  <c:v>24.1</c:v>
                </c:pt>
                <c:pt idx="12">
                  <c:v>32.1</c:v>
                </c:pt>
              </c:numCache>
            </c:numRef>
          </c:xVal>
          <c:yVal>
            <c:numRef>
              <c:f>'Indiv Cp_PK'!$F$41:$F$53</c:f>
              <c:numCache>
                <c:formatCode>0.0</c:formatCode>
                <c:ptCount val="13"/>
                <c:pt idx="0">
                  <c:v>0.56421399999999999</c:v>
                </c:pt>
                <c:pt idx="1">
                  <c:v>95.996600000000015</c:v>
                </c:pt>
                <c:pt idx="2">
                  <c:v>105.623</c:v>
                </c:pt>
                <c:pt idx="3">
                  <c:v>85.568000000000012</c:v>
                </c:pt>
                <c:pt idx="4">
                  <c:v>73.802400000000006</c:v>
                </c:pt>
                <c:pt idx="5">
                  <c:v>52.945200000000007</c:v>
                </c:pt>
                <c:pt idx="6">
                  <c:v>50.806000000000004</c:v>
                </c:pt>
                <c:pt idx="7">
                  <c:v>37.168600000000005</c:v>
                </c:pt>
                <c:pt idx="8">
                  <c:v>24.868200000000002</c:v>
                </c:pt>
                <c:pt idx="9">
                  <c:v>16.605540000000001</c:v>
                </c:pt>
                <c:pt idx="10">
                  <c:v>8.8776800000000016</c:v>
                </c:pt>
                <c:pt idx="11">
                  <c:v>2.6338900000000001</c:v>
                </c:pt>
                <c:pt idx="12">
                  <c:v>0.48132000000000008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'Indiv Cp_PK'!$H$39</c:f>
              <c:strCache>
                <c:ptCount val="1"/>
                <c:pt idx="0">
                  <c:v>high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'Indiv Cp_PK'!$G$41:$G$55</c:f>
              <c:numCache>
                <c:formatCode>0.0</c:formatCode>
                <c:ptCount val="15"/>
                <c:pt idx="0">
                  <c:v>0.17100000000000001</c:v>
                </c:pt>
                <c:pt idx="1">
                  <c:v>0.44500000000000001</c:v>
                </c:pt>
                <c:pt idx="2">
                  <c:v>1.99</c:v>
                </c:pt>
                <c:pt idx="3">
                  <c:v>2.98</c:v>
                </c:pt>
                <c:pt idx="4">
                  <c:v>4.1100000000000003</c:v>
                </c:pt>
                <c:pt idx="5">
                  <c:v>5.14</c:v>
                </c:pt>
                <c:pt idx="6">
                  <c:v>6.27</c:v>
                </c:pt>
                <c:pt idx="7">
                  <c:v>7.67</c:v>
                </c:pt>
                <c:pt idx="8">
                  <c:v>8.1199999999999992</c:v>
                </c:pt>
                <c:pt idx="9">
                  <c:v>10.6</c:v>
                </c:pt>
                <c:pt idx="10">
                  <c:v>12.2</c:v>
                </c:pt>
                <c:pt idx="11">
                  <c:v>13.9</c:v>
                </c:pt>
                <c:pt idx="12">
                  <c:v>18.100000000000001</c:v>
                </c:pt>
                <c:pt idx="13">
                  <c:v>24.1</c:v>
                </c:pt>
                <c:pt idx="14">
                  <c:v>31.9</c:v>
                </c:pt>
              </c:numCache>
            </c:numRef>
          </c:xVal>
          <c:yVal>
            <c:numRef>
              <c:f>'Indiv Cp_PK'!$H$41:$H$55</c:f>
              <c:numCache>
                <c:formatCode>0.0</c:formatCode>
                <c:ptCount val="15"/>
                <c:pt idx="0">
                  <c:v>1.4466340000000002</c:v>
                </c:pt>
                <c:pt idx="1">
                  <c:v>137.71100000000001</c:v>
                </c:pt>
                <c:pt idx="2">
                  <c:v>181.56460000000001</c:v>
                </c:pt>
                <c:pt idx="3">
                  <c:v>150.01140000000001</c:v>
                </c:pt>
                <c:pt idx="4">
                  <c:v>135.57180000000002</c:v>
                </c:pt>
                <c:pt idx="5">
                  <c:v>114.17980000000001</c:v>
                </c:pt>
                <c:pt idx="6">
                  <c:v>98.938000000000017</c:v>
                </c:pt>
                <c:pt idx="7">
                  <c:v>81.022200000000012</c:v>
                </c:pt>
                <c:pt idx="8">
                  <c:v>71.395800000000008</c:v>
                </c:pt>
                <c:pt idx="9">
                  <c:v>51.073400000000007</c:v>
                </c:pt>
                <c:pt idx="10">
                  <c:v>40.644800000000004</c:v>
                </c:pt>
                <c:pt idx="11">
                  <c:v>29.414000000000001</c:v>
                </c:pt>
                <c:pt idx="12">
                  <c:v>22.113980000000002</c:v>
                </c:pt>
                <c:pt idx="13">
                  <c:v>10.589040000000001</c:v>
                </c:pt>
                <c:pt idx="14">
                  <c:v>4.3051400000000006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8717040"/>
        <c:axId val="748717432"/>
      </c:scatterChart>
      <c:valAx>
        <c:axId val="748717040"/>
        <c:scaling>
          <c:orientation val="minMax"/>
          <c:max val="32"/>
          <c:min val="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Time 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717432"/>
        <c:crosses val="autoZero"/>
        <c:crossBetween val="midCat"/>
        <c:majorUnit val="2"/>
        <c:minorUnit val="1"/>
      </c:valAx>
      <c:valAx>
        <c:axId val="748717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Cp ng/ml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717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548993875766"/>
          <c:y val="0.23284594634004083"/>
          <c:w val="0.21872189043542517"/>
          <c:h val="0.400660457676530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Dissolution IntelliCap Söderlind2015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705336832895889"/>
          <c:y val="0.17171296296296296"/>
          <c:w val="0.80727996500437449"/>
          <c:h val="0.70696741032370958"/>
        </c:manualLayout>
      </c:layout>
      <c:scatterChart>
        <c:scatterStyle val="lineMarker"/>
        <c:varyColors val="0"/>
        <c:ser>
          <c:idx val="0"/>
          <c:order val="0"/>
          <c:tx>
            <c:v>Treatment 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0.11630511250500747"/>
                  <c:y val="-1.649272753913259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errBars>
            <c:errDir val="x"/>
            <c:errBarType val="both"/>
            <c:errValType val="fixedVal"/>
            <c:noEndCap val="1"/>
            <c:val val="1.0000000000000004E-6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Dissolution!$B$34:$B$101</c:f>
              <c:numCache>
                <c:formatCode>0</c:formatCode>
                <c:ptCount val="68"/>
                <c:pt idx="0">
                  <c:v>9.48</c:v>
                </c:pt>
                <c:pt idx="1">
                  <c:v>12.66</c:v>
                </c:pt>
                <c:pt idx="2">
                  <c:v>19.02</c:v>
                </c:pt>
                <c:pt idx="3">
                  <c:v>25.259999999999998</c:v>
                </c:pt>
                <c:pt idx="4">
                  <c:v>31.62</c:v>
                </c:pt>
                <c:pt idx="5">
                  <c:v>44.1</c:v>
                </c:pt>
                <c:pt idx="6">
                  <c:v>47.28</c:v>
                </c:pt>
                <c:pt idx="7">
                  <c:v>53.58</c:v>
                </c:pt>
                <c:pt idx="8">
                  <c:v>56.76</c:v>
                </c:pt>
                <c:pt idx="9">
                  <c:v>66</c:v>
                </c:pt>
                <c:pt idx="10">
                  <c:v>75.599999999999994</c:v>
                </c:pt>
                <c:pt idx="11">
                  <c:v>78.600000000000009</c:v>
                </c:pt>
                <c:pt idx="12">
                  <c:v>85.199999999999989</c:v>
                </c:pt>
                <c:pt idx="13">
                  <c:v>94.800000000000011</c:v>
                </c:pt>
                <c:pt idx="14">
                  <c:v>97.8</c:v>
                </c:pt>
                <c:pt idx="15">
                  <c:v>107.4</c:v>
                </c:pt>
                <c:pt idx="16">
                  <c:v>107.4</c:v>
                </c:pt>
                <c:pt idx="17">
                  <c:v>113.39999999999999</c:v>
                </c:pt>
                <c:pt idx="18">
                  <c:v>120</c:v>
                </c:pt>
                <c:pt idx="19">
                  <c:v>126</c:v>
                </c:pt>
                <c:pt idx="20">
                  <c:v>132.6</c:v>
                </c:pt>
                <c:pt idx="21">
                  <c:v>145.19999999999999</c:v>
                </c:pt>
                <c:pt idx="22">
                  <c:v>151.19999999999999</c:v>
                </c:pt>
                <c:pt idx="23">
                  <c:v>154.80000000000001</c:v>
                </c:pt>
                <c:pt idx="24">
                  <c:v>160.80000000000001</c:v>
                </c:pt>
                <c:pt idx="25">
                  <c:v>170.39999999999998</c:v>
                </c:pt>
                <c:pt idx="26">
                  <c:v>180</c:v>
                </c:pt>
                <c:pt idx="27">
                  <c:v>183</c:v>
                </c:pt>
                <c:pt idx="28">
                  <c:v>189</c:v>
                </c:pt>
                <c:pt idx="29">
                  <c:v>189</c:v>
                </c:pt>
                <c:pt idx="30">
                  <c:v>192.6</c:v>
                </c:pt>
                <c:pt idx="31">
                  <c:v>195.6</c:v>
                </c:pt>
                <c:pt idx="32">
                  <c:v>202.20000000000002</c:v>
                </c:pt>
                <c:pt idx="33">
                  <c:v>208.20000000000002</c:v>
                </c:pt>
                <c:pt idx="34">
                  <c:v>217.79999999999998</c:v>
                </c:pt>
                <c:pt idx="35">
                  <c:v>226.79999999999998</c:v>
                </c:pt>
                <c:pt idx="36">
                  <c:v>227.4</c:v>
                </c:pt>
                <c:pt idx="37">
                  <c:v>236.4</c:v>
                </c:pt>
                <c:pt idx="38">
                  <c:v>236.4</c:v>
                </c:pt>
                <c:pt idx="39">
                  <c:v>245.99999999999997</c:v>
                </c:pt>
                <c:pt idx="40">
                  <c:v>252.6</c:v>
                </c:pt>
                <c:pt idx="41">
                  <c:v>255.6</c:v>
                </c:pt>
                <c:pt idx="42">
                  <c:v>255.6</c:v>
                </c:pt>
                <c:pt idx="43">
                  <c:v>261.60000000000002</c:v>
                </c:pt>
                <c:pt idx="44">
                  <c:v>274.20000000000005</c:v>
                </c:pt>
                <c:pt idx="45">
                  <c:v>280.79999999999995</c:v>
                </c:pt>
                <c:pt idx="46">
                  <c:v>286.8</c:v>
                </c:pt>
                <c:pt idx="47">
                  <c:v>289.8</c:v>
                </c:pt>
                <c:pt idx="48">
                  <c:v>293.39999999999998</c:v>
                </c:pt>
                <c:pt idx="49">
                  <c:v>296.40000000000003</c:v>
                </c:pt>
                <c:pt idx="50">
                  <c:v>303</c:v>
                </c:pt>
                <c:pt idx="51">
                  <c:v>303</c:v>
                </c:pt>
                <c:pt idx="52">
                  <c:v>309</c:v>
                </c:pt>
                <c:pt idx="53">
                  <c:v>315</c:v>
                </c:pt>
                <c:pt idx="54">
                  <c:v>318.59999999999997</c:v>
                </c:pt>
                <c:pt idx="55">
                  <c:v>324.60000000000002</c:v>
                </c:pt>
                <c:pt idx="56">
                  <c:v>334.20000000000005</c:v>
                </c:pt>
                <c:pt idx="57">
                  <c:v>337.2</c:v>
                </c:pt>
                <c:pt idx="58">
                  <c:v>340.2</c:v>
                </c:pt>
                <c:pt idx="59">
                  <c:v>346.8</c:v>
                </c:pt>
                <c:pt idx="60">
                  <c:v>358.8</c:v>
                </c:pt>
                <c:pt idx="61">
                  <c:v>368.4</c:v>
                </c:pt>
                <c:pt idx="62">
                  <c:v>371.40000000000003</c:v>
                </c:pt>
                <c:pt idx="63">
                  <c:v>384</c:v>
                </c:pt>
                <c:pt idx="64">
                  <c:v>396</c:v>
                </c:pt>
                <c:pt idx="65">
                  <c:v>399.6</c:v>
                </c:pt>
                <c:pt idx="66">
                  <c:v>402.6</c:v>
                </c:pt>
                <c:pt idx="67">
                  <c:v>411.6</c:v>
                </c:pt>
              </c:numCache>
            </c:numRef>
          </c:xVal>
          <c:yVal>
            <c:numRef>
              <c:f>Dissolution!$C$34:$C$101</c:f>
              <c:numCache>
                <c:formatCode>0</c:formatCode>
                <c:ptCount val="68"/>
                <c:pt idx="0">
                  <c:v>1.08</c:v>
                </c:pt>
                <c:pt idx="1">
                  <c:v>2.88</c:v>
                </c:pt>
                <c:pt idx="2">
                  <c:v>5.4</c:v>
                </c:pt>
                <c:pt idx="3">
                  <c:v>7.19</c:v>
                </c:pt>
                <c:pt idx="4">
                  <c:v>9.35</c:v>
                </c:pt>
                <c:pt idx="5">
                  <c:v>11.200000000000001</c:v>
                </c:pt>
                <c:pt idx="6">
                  <c:v>12.6</c:v>
                </c:pt>
                <c:pt idx="7">
                  <c:v>13.700000000000001</c:v>
                </c:pt>
                <c:pt idx="8">
                  <c:v>15.5</c:v>
                </c:pt>
                <c:pt idx="9">
                  <c:v>18</c:v>
                </c:pt>
                <c:pt idx="10">
                  <c:v>20.5</c:v>
                </c:pt>
                <c:pt idx="11">
                  <c:v>22.7</c:v>
                </c:pt>
                <c:pt idx="12">
                  <c:v>25.2</c:v>
                </c:pt>
                <c:pt idx="13">
                  <c:v>27.3</c:v>
                </c:pt>
                <c:pt idx="14">
                  <c:v>28.799999999999997</c:v>
                </c:pt>
                <c:pt idx="15">
                  <c:v>30.599999999999998</c:v>
                </c:pt>
                <c:pt idx="16">
                  <c:v>32.700000000000003</c:v>
                </c:pt>
                <c:pt idx="17">
                  <c:v>35.299999999999997</c:v>
                </c:pt>
                <c:pt idx="18">
                  <c:v>37.4</c:v>
                </c:pt>
                <c:pt idx="19">
                  <c:v>39.6</c:v>
                </c:pt>
                <c:pt idx="20">
                  <c:v>41.4</c:v>
                </c:pt>
                <c:pt idx="21">
                  <c:v>43.2</c:v>
                </c:pt>
                <c:pt idx="22">
                  <c:v>47.099999999999994</c:v>
                </c:pt>
                <c:pt idx="23">
                  <c:v>49.6</c:v>
                </c:pt>
                <c:pt idx="24">
                  <c:v>51.800000000000004</c:v>
                </c:pt>
                <c:pt idx="25">
                  <c:v>53.6</c:v>
                </c:pt>
                <c:pt idx="26">
                  <c:v>55.000000000000007</c:v>
                </c:pt>
                <c:pt idx="27">
                  <c:v>56.8</c:v>
                </c:pt>
                <c:pt idx="28">
                  <c:v>58.599999999999994</c:v>
                </c:pt>
                <c:pt idx="29">
                  <c:v>59.699999999999996</c:v>
                </c:pt>
                <c:pt idx="30">
                  <c:v>61.199999999999996</c:v>
                </c:pt>
                <c:pt idx="31">
                  <c:v>62.9</c:v>
                </c:pt>
                <c:pt idx="32">
                  <c:v>65.8</c:v>
                </c:pt>
                <c:pt idx="33">
                  <c:v>67.300000000000011</c:v>
                </c:pt>
                <c:pt idx="34">
                  <c:v>68.300000000000011</c:v>
                </c:pt>
                <c:pt idx="35">
                  <c:v>70.899999999999991</c:v>
                </c:pt>
                <c:pt idx="36">
                  <c:v>73.400000000000006</c:v>
                </c:pt>
                <c:pt idx="37">
                  <c:v>74.5</c:v>
                </c:pt>
                <c:pt idx="38">
                  <c:v>75.5</c:v>
                </c:pt>
                <c:pt idx="39">
                  <c:v>78.400000000000006</c:v>
                </c:pt>
                <c:pt idx="40">
                  <c:v>79.900000000000006</c:v>
                </c:pt>
                <c:pt idx="41">
                  <c:v>80.600000000000009</c:v>
                </c:pt>
                <c:pt idx="42">
                  <c:v>81.3</c:v>
                </c:pt>
                <c:pt idx="43">
                  <c:v>82</c:v>
                </c:pt>
                <c:pt idx="44">
                  <c:v>84.5</c:v>
                </c:pt>
                <c:pt idx="45">
                  <c:v>85.6</c:v>
                </c:pt>
                <c:pt idx="46">
                  <c:v>87.4</c:v>
                </c:pt>
                <c:pt idx="47">
                  <c:v>88.5</c:v>
                </c:pt>
                <c:pt idx="48">
                  <c:v>90.3</c:v>
                </c:pt>
                <c:pt idx="49">
                  <c:v>91</c:v>
                </c:pt>
                <c:pt idx="50">
                  <c:v>93.2</c:v>
                </c:pt>
                <c:pt idx="51">
                  <c:v>94.199999999999989</c:v>
                </c:pt>
                <c:pt idx="52">
                  <c:v>95.7</c:v>
                </c:pt>
                <c:pt idx="53">
                  <c:v>96.399999999999991</c:v>
                </c:pt>
                <c:pt idx="54">
                  <c:v>97.5</c:v>
                </c:pt>
                <c:pt idx="55">
                  <c:v>98.6</c:v>
                </c:pt>
                <c:pt idx="56">
                  <c:v>98.6</c:v>
                </c:pt>
                <c:pt idx="57">
                  <c:v>100</c:v>
                </c:pt>
                <c:pt idx="58">
                  <c:v>101</c:v>
                </c:pt>
                <c:pt idx="59">
                  <c:v>101</c:v>
                </c:pt>
                <c:pt idx="60">
                  <c:v>102</c:v>
                </c:pt>
                <c:pt idx="61">
                  <c:v>103</c:v>
                </c:pt>
                <c:pt idx="62">
                  <c:v>103</c:v>
                </c:pt>
                <c:pt idx="63">
                  <c:v>100</c:v>
                </c:pt>
                <c:pt idx="64">
                  <c:v>100</c:v>
                </c:pt>
                <c:pt idx="65">
                  <c:v>102</c:v>
                </c:pt>
                <c:pt idx="66">
                  <c:v>104</c:v>
                </c:pt>
                <c:pt idx="67">
                  <c:v>101</c:v>
                </c:pt>
              </c:numCache>
            </c:numRef>
          </c:yVal>
          <c:smooth val="0"/>
        </c:ser>
        <c:ser>
          <c:idx val="1"/>
          <c:order val="1"/>
          <c:tx>
            <c:v>Treatment B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errBars>
            <c:errDir val="x"/>
            <c:errBarType val="plus"/>
            <c:errValType val="fixedVal"/>
            <c:noEndCap val="1"/>
            <c:val val="1.0000000000000005E-7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1"/>
            <c:plus>
              <c:numRef>
                <c:f>Dissolution!$I$34:$I$124</c:f>
                <c:numCache>
                  <c:formatCode>General</c:formatCode>
                  <c:ptCount val="91"/>
                </c:numCache>
              </c:numRef>
            </c:plus>
            <c:minus>
              <c:numRef>
                <c:f>Dissolution!$I$34:$I$124</c:f>
                <c:numCache>
                  <c:formatCode>General</c:formatCode>
                  <c:ptCount val="91"/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Dissolution!$F$34:$F$124</c:f>
              <c:numCache>
                <c:formatCode>0</c:formatCode>
                <c:ptCount val="91"/>
                <c:pt idx="0">
                  <c:v>6.18</c:v>
                </c:pt>
                <c:pt idx="1">
                  <c:v>18.600000000000001</c:v>
                </c:pt>
                <c:pt idx="2">
                  <c:v>27.900000000000002</c:v>
                </c:pt>
                <c:pt idx="3">
                  <c:v>40.260000000000005</c:v>
                </c:pt>
                <c:pt idx="4">
                  <c:v>52.68</c:v>
                </c:pt>
                <c:pt idx="5">
                  <c:v>61.800000000000004</c:v>
                </c:pt>
                <c:pt idx="6">
                  <c:v>83.399999999999991</c:v>
                </c:pt>
                <c:pt idx="7">
                  <c:v>90</c:v>
                </c:pt>
                <c:pt idx="8">
                  <c:v>93</c:v>
                </c:pt>
                <c:pt idx="9">
                  <c:v>99</c:v>
                </c:pt>
                <c:pt idx="10">
                  <c:v>108.60000000000001</c:v>
                </c:pt>
                <c:pt idx="11">
                  <c:v>117.6</c:v>
                </c:pt>
                <c:pt idx="12">
                  <c:v>130.19999999999999</c:v>
                </c:pt>
                <c:pt idx="13">
                  <c:v>139.19999999999999</c:v>
                </c:pt>
                <c:pt idx="14">
                  <c:v>142.20000000000002</c:v>
                </c:pt>
                <c:pt idx="15">
                  <c:v>151.79999999999998</c:v>
                </c:pt>
                <c:pt idx="16">
                  <c:v>160.80000000000001</c:v>
                </c:pt>
                <c:pt idx="17">
                  <c:v>167.4</c:v>
                </c:pt>
                <c:pt idx="18">
                  <c:v>179.4</c:v>
                </c:pt>
                <c:pt idx="19">
                  <c:v>189</c:v>
                </c:pt>
                <c:pt idx="20">
                  <c:v>204.60000000000002</c:v>
                </c:pt>
                <c:pt idx="21">
                  <c:v>213.6</c:v>
                </c:pt>
                <c:pt idx="22">
                  <c:v>223.20000000000002</c:v>
                </c:pt>
                <c:pt idx="23">
                  <c:v>235.2</c:v>
                </c:pt>
                <c:pt idx="24">
                  <c:v>244.8</c:v>
                </c:pt>
                <c:pt idx="25">
                  <c:v>260.39999999999998</c:v>
                </c:pt>
                <c:pt idx="26">
                  <c:v>272.39999999999998</c:v>
                </c:pt>
                <c:pt idx="27">
                  <c:v>279</c:v>
                </c:pt>
                <c:pt idx="28">
                  <c:v>288</c:v>
                </c:pt>
                <c:pt idx="29">
                  <c:v>306.60000000000002</c:v>
                </c:pt>
                <c:pt idx="30">
                  <c:v>312.60000000000002</c:v>
                </c:pt>
                <c:pt idx="31">
                  <c:v>346.8</c:v>
                </c:pt>
                <c:pt idx="32">
                  <c:v>346.8</c:v>
                </c:pt>
                <c:pt idx="33">
                  <c:v>356.40000000000003</c:v>
                </c:pt>
                <c:pt idx="34">
                  <c:v>365.4</c:v>
                </c:pt>
                <c:pt idx="35">
                  <c:v>378</c:v>
                </c:pt>
                <c:pt idx="36">
                  <c:v>393</c:v>
                </c:pt>
                <c:pt idx="37">
                  <c:v>399.6</c:v>
                </c:pt>
                <c:pt idx="38">
                  <c:v>411.6</c:v>
                </c:pt>
                <c:pt idx="39">
                  <c:v>424.20000000000005</c:v>
                </c:pt>
                <c:pt idx="40">
                  <c:v>436.8</c:v>
                </c:pt>
                <c:pt idx="41">
                  <c:v>448.8</c:v>
                </c:pt>
                <c:pt idx="42">
                  <c:v>448.8</c:v>
                </c:pt>
                <c:pt idx="43">
                  <c:v>458.4</c:v>
                </c:pt>
                <c:pt idx="44">
                  <c:v>489.6</c:v>
                </c:pt>
                <c:pt idx="45">
                  <c:v>489.6</c:v>
                </c:pt>
                <c:pt idx="46">
                  <c:v>498.6</c:v>
                </c:pt>
                <c:pt idx="47">
                  <c:v>504.6</c:v>
                </c:pt>
                <c:pt idx="48">
                  <c:v>517.19999999999993</c:v>
                </c:pt>
                <c:pt idx="49">
                  <c:v>532.80000000000007</c:v>
                </c:pt>
                <c:pt idx="50">
                  <c:v>548.40000000000009</c:v>
                </c:pt>
                <c:pt idx="51">
                  <c:v>554.4</c:v>
                </c:pt>
                <c:pt idx="52">
                  <c:v>576</c:v>
                </c:pt>
                <c:pt idx="53">
                  <c:v>591.59999999999991</c:v>
                </c:pt>
                <c:pt idx="54">
                  <c:v>606</c:v>
                </c:pt>
                <c:pt idx="55">
                  <c:v>618</c:v>
                </c:pt>
                <c:pt idx="56">
                  <c:v>624</c:v>
                </c:pt>
                <c:pt idx="57">
                  <c:v>642</c:v>
                </c:pt>
                <c:pt idx="58">
                  <c:v>648</c:v>
                </c:pt>
                <c:pt idx="59">
                  <c:v>654</c:v>
                </c:pt>
                <c:pt idx="60">
                  <c:v>666</c:v>
                </c:pt>
                <c:pt idx="61">
                  <c:v>678</c:v>
                </c:pt>
                <c:pt idx="62">
                  <c:v>684</c:v>
                </c:pt>
                <c:pt idx="63">
                  <c:v>696</c:v>
                </c:pt>
                <c:pt idx="64">
                  <c:v>702</c:v>
                </c:pt>
                <c:pt idx="65">
                  <c:v>714</c:v>
                </c:pt>
                <c:pt idx="66">
                  <c:v>726</c:v>
                </c:pt>
                <c:pt idx="67">
                  <c:v>738</c:v>
                </c:pt>
                <c:pt idx="68">
                  <c:v>750</c:v>
                </c:pt>
                <c:pt idx="69">
                  <c:v>762</c:v>
                </c:pt>
                <c:pt idx="70">
                  <c:v>792</c:v>
                </c:pt>
                <c:pt idx="71">
                  <c:v>804</c:v>
                </c:pt>
                <c:pt idx="72">
                  <c:v>810</c:v>
                </c:pt>
                <c:pt idx="73">
                  <c:v>840</c:v>
                </c:pt>
                <c:pt idx="74">
                  <c:v>852</c:v>
                </c:pt>
                <c:pt idx="75">
                  <c:v>870</c:v>
                </c:pt>
                <c:pt idx="76">
                  <c:v>900</c:v>
                </c:pt>
              </c:numCache>
            </c:numRef>
          </c:xVal>
          <c:yVal>
            <c:numRef>
              <c:f>Dissolution!$G$34:$G$124</c:f>
              <c:numCache>
                <c:formatCode>0</c:formatCode>
                <c:ptCount val="91"/>
                <c:pt idx="0">
                  <c:v>0</c:v>
                </c:pt>
                <c:pt idx="1">
                  <c:v>0.71899999999999997</c:v>
                </c:pt>
                <c:pt idx="2">
                  <c:v>1.44</c:v>
                </c:pt>
                <c:pt idx="3">
                  <c:v>2.88</c:v>
                </c:pt>
                <c:pt idx="4">
                  <c:v>4.32</c:v>
                </c:pt>
                <c:pt idx="5">
                  <c:v>5.76</c:v>
                </c:pt>
                <c:pt idx="6">
                  <c:v>8.6300000000000008</c:v>
                </c:pt>
                <c:pt idx="7">
                  <c:v>10.100000000000001</c:v>
                </c:pt>
                <c:pt idx="8">
                  <c:v>10.8</c:v>
                </c:pt>
                <c:pt idx="9">
                  <c:v>12.6</c:v>
                </c:pt>
                <c:pt idx="10">
                  <c:v>14.000000000000002</c:v>
                </c:pt>
                <c:pt idx="11">
                  <c:v>15.1</c:v>
                </c:pt>
                <c:pt idx="12">
                  <c:v>15.8</c:v>
                </c:pt>
                <c:pt idx="13">
                  <c:v>16.900000000000002</c:v>
                </c:pt>
                <c:pt idx="14">
                  <c:v>18.3</c:v>
                </c:pt>
                <c:pt idx="15">
                  <c:v>19.400000000000002</c:v>
                </c:pt>
                <c:pt idx="16">
                  <c:v>20.5</c:v>
                </c:pt>
                <c:pt idx="17">
                  <c:v>21.9</c:v>
                </c:pt>
                <c:pt idx="18">
                  <c:v>23</c:v>
                </c:pt>
                <c:pt idx="19">
                  <c:v>25.5</c:v>
                </c:pt>
                <c:pt idx="20">
                  <c:v>27</c:v>
                </c:pt>
                <c:pt idx="21">
                  <c:v>28.4</c:v>
                </c:pt>
                <c:pt idx="22">
                  <c:v>30.9</c:v>
                </c:pt>
                <c:pt idx="23">
                  <c:v>32.700000000000003</c:v>
                </c:pt>
                <c:pt idx="24">
                  <c:v>34.200000000000003</c:v>
                </c:pt>
                <c:pt idx="25">
                  <c:v>35.6</c:v>
                </c:pt>
                <c:pt idx="26">
                  <c:v>36.700000000000003</c:v>
                </c:pt>
                <c:pt idx="27">
                  <c:v>37.4</c:v>
                </c:pt>
                <c:pt idx="28">
                  <c:v>38.800000000000004</c:v>
                </c:pt>
                <c:pt idx="29">
                  <c:v>41</c:v>
                </c:pt>
                <c:pt idx="30">
                  <c:v>42.4</c:v>
                </c:pt>
                <c:pt idx="31">
                  <c:v>45.7</c:v>
                </c:pt>
                <c:pt idx="32">
                  <c:v>48.199999999999996</c:v>
                </c:pt>
                <c:pt idx="33">
                  <c:v>51.1</c:v>
                </c:pt>
                <c:pt idx="34">
                  <c:v>51.800000000000004</c:v>
                </c:pt>
                <c:pt idx="35">
                  <c:v>54</c:v>
                </c:pt>
                <c:pt idx="36">
                  <c:v>54.7</c:v>
                </c:pt>
                <c:pt idx="37">
                  <c:v>55.800000000000004</c:v>
                </c:pt>
                <c:pt idx="38">
                  <c:v>56.8</c:v>
                </c:pt>
                <c:pt idx="39">
                  <c:v>58.3</c:v>
                </c:pt>
                <c:pt idx="40">
                  <c:v>59.699999999999996</c:v>
                </c:pt>
                <c:pt idx="41">
                  <c:v>60.8</c:v>
                </c:pt>
                <c:pt idx="42">
                  <c:v>61.9</c:v>
                </c:pt>
                <c:pt idx="43">
                  <c:v>62.9</c:v>
                </c:pt>
                <c:pt idx="44">
                  <c:v>65.5</c:v>
                </c:pt>
                <c:pt idx="45">
                  <c:v>67.600000000000009</c:v>
                </c:pt>
                <c:pt idx="46">
                  <c:v>68.7</c:v>
                </c:pt>
                <c:pt idx="47">
                  <c:v>70.099999999999994</c:v>
                </c:pt>
                <c:pt idx="48">
                  <c:v>71.2</c:v>
                </c:pt>
                <c:pt idx="49">
                  <c:v>72.7</c:v>
                </c:pt>
                <c:pt idx="50">
                  <c:v>75.2</c:v>
                </c:pt>
                <c:pt idx="51">
                  <c:v>77.3</c:v>
                </c:pt>
                <c:pt idx="52">
                  <c:v>80.2</c:v>
                </c:pt>
                <c:pt idx="53">
                  <c:v>82</c:v>
                </c:pt>
                <c:pt idx="54">
                  <c:v>83.5</c:v>
                </c:pt>
                <c:pt idx="55">
                  <c:v>85.3</c:v>
                </c:pt>
                <c:pt idx="56">
                  <c:v>86</c:v>
                </c:pt>
                <c:pt idx="57">
                  <c:v>88.1</c:v>
                </c:pt>
                <c:pt idx="58">
                  <c:v>89.600000000000009</c:v>
                </c:pt>
                <c:pt idx="59">
                  <c:v>91</c:v>
                </c:pt>
                <c:pt idx="60">
                  <c:v>91.7</c:v>
                </c:pt>
                <c:pt idx="61">
                  <c:v>92.4</c:v>
                </c:pt>
                <c:pt idx="62">
                  <c:v>93.5</c:v>
                </c:pt>
                <c:pt idx="63">
                  <c:v>95</c:v>
                </c:pt>
                <c:pt idx="64">
                  <c:v>96</c:v>
                </c:pt>
                <c:pt idx="65">
                  <c:v>97.1</c:v>
                </c:pt>
                <c:pt idx="66">
                  <c:v>98.6</c:v>
                </c:pt>
                <c:pt idx="67">
                  <c:v>100</c:v>
                </c:pt>
                <c:pt idx="68">
                  <c:v>101</c:v>
                </c:pt>
                <c:pt idx="69">
                  <c:v>103</c:v>
                </c:pt>
                <c:pt idx="70">
                  <c:v>103</c:v>
                </c:pt>
                <c:pt idx="71">
                  <c:v>105</c:v>
                </c:pt>
                <c:pt idx="72">
                  <c:v>104</c:v>
                </c:pt>
                <c:pt idx="73">
                  <c:v>104</c:v>
                </c:pt>
                <c:pt idx="74">
                  <c:v>105</c:v>
                </c:pt>
                <c:pt idx="75">
                  <c:v>105</c:v>
                </c:pt>
                <c:pt idx="76">
                  <c:v>105</c:v>
                </c:pt>
              </c:numCache>
            </c:numRef>
          </c:yVal>
          <c:smooth val="0"/>
        </c:ser>
        <c:ser>
          <c:idx val="2"/>
          <c:order val="2"/>
          <c:tx>
            <c:v>Treatment C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fixedVal"/>
            <c:noEndCap val="1"/>
            <c:val val="1.0000000000000004E-6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Dissolution!$M$34:$M$110</c:f>
                <c:numCache>
                  <c:formatCode>General</c:formatCode>
                  <c:ptCount val="77"/>
                </c:numCache>
              </c:numRef>
            </c:plus>
            <c:minus>
              <c:numRef>
                <c:f>Dissolution!$M$34:$M$110</c:f>
                <c:numCache>
                  <c:formatCode>General</c:formatCode>
                  <c:ptCount val="77"/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Dissolution!$J$34:$J$124</c:f>
              <c:numCache>
                <c:formatCode>0</c:formatCode>
                <c:ptCount val="91"/>
                <c:pt idx="0">
                  <c:v>6.1199999999999992</c:v>
                </c:pt>
                <c:pt idx="1">
                  <c:v>11.940000000000001</c:v>
                </c:pt>
                <c:pt idx="2">
                  <c:v>2.0760000000000001</c:v>
                </c:pt>
                <c:pt idx="3">
                  <c:v>13.860000000000001</c:v>
                </c:pt>
                <c:pt idx="4">
                  <c:v>13.08</c:v>
                </c:pt>
                <c:pt idx="5">
                  <c:v>62.400000000000006</c:v>
                </c:pt>
                <c:pt idx="6">
                  <c:v>106.2</c:v>
                </c:pt>
                <c:pt idx="7">
                  <c:v>149.4</c:v>
                </c:pt>
                <c:pt idx="8">
                  <c:v>199.2</c:v>
                </c:pt>
                <c:pt idx="9">
                  <c:v>245.39999999999998</c:v>
                </c:pt>
                <c:pt idx="10">
                  <c:v>288.59999999999997</c:v>
                </c:pt>
                <c:pt idx="11">
                  <c:v>310.2</c:v>
                </c:pt>
                <c:pt idx="12">
                  <c:v>315.59999999999997</c:v>
                </c:pt>
                <c:pt idx="13">
                  <c:v>308.39999999999998</c:v>
                </c:pt>
                <c:pt idx="14">
                  <c:v>314.40000000000003</c:v>
                </c:pt>
                <c:pt idx="15">
                  <c:v>311.40000000000003</c:v>
                </c:pt>
                <c:pt idx="16">
                  <c:v>320.39999999999998</c:v>
                </c:pt>
                <c:pt idx="17">
                  <c:v>333</c:v>
                </c:pt>
                <c:pt idx="18">
                  <c:v>339</c:v>
                </c:pt>
                <c:pt idx="19">
                  <c:v>345</c:v>
                </c:pt>
                <c:pt idx="20">
                  <c:v>370.2</c:v>
                </c:pt>
              </c:numCache>
            </c:numRef>
          </c:xVal>
          <c:yVal>
            <c:numRef>
              <c:f>Dissolution!$K$34:$K$124</c:f>
              <c:numCache>
                <c:formatCode>0</c:formatCode>
                <c:ptCount val="91"/>
                <c:pt idx="0">
                  <c:v>0.35799999999999998</c:v>
                </c:pt>
                <c:pt idx="1">
                  <c:v>8.6</c:v>
                </c:pt>
                <c:pt idx="2">
                  <c:v>21.5</c:v>
                </c:pt>
                <c:pt idx="3">
                  <c:v>35.5</c:v>
                </c:pt>
                <c:pt idx="4">
                  <c:v>52.300000000000004</c:v>
                </c:pt>
                <c:pt idx="5">
                  <c:v>52.300000000000004</c:v>
                </c:pt>
                <c:pt idx="6">
                  <c:v>52.7</c:v>
                </c:pt>
                <c:pt idx="7">
                  <c:v>53.800000000000004</c:v>
                </c:pt>
                <c:pt idx="8">
                  <c:v>53.400000000000006</c:v>
                </c:pt>
                <c:pt idx="9">
                  <c:v>55.2</c:v>
                </c:pt>
                <c:pt idx="10">
                  <c:v>55.2</c:v>
                </c:pt>
                <c:pt idx="11">
                  <c:v>62.7</c:v>
                </c:pt>
                <c:pt idx="12">
                  <c:v>76</c:v>
                </c:pt>
                <c:pt idx="13">
                  <c:v>92.800000000000011</c:v>
                </c:pt>
                <c:pt idx="14">
                  <c:v>101</c:v>
                </c:pt>
                <c:pt idx="15">
                  <c:v>106</c:v>
                </c:pt>
                <c:pt idx="16">
                  <c:v>107</c:v>
                </c:pt>
                <c:pt idx="17">
                  <c:v>108</c:v>
                </c:pt>
                <c:pt idx="18">
                  <c:v>108</c:v>
                </c:pt>
                <c:pt idx="19">
                  <c:v>108</c:v>
                </c:pt>
                <c:pt idx="20">
                  <c:v>108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803048"/>
        <c:axId val="535805792"/>
      </c:scatterChart>
      <c:valAx>
        <c:axId val="535803048"/>
        <c:scaling>
          <c:orientation val="minMax"/>
          <c:max val="9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min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805792"/>
        <c:crosses val="autoZero"/>
        <c:crossBetween val="midCat"/>
        <c:majorUnit val="120"/>
        <c:minorUnit val="30"/>
      </c:valAx>
      <c:valAx>
        <c:axId val="535805792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released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803048"/>
        <c:crosses val="autoZero"/>
        <c:crossBetween val="midCat"/>
        <c:majorUnit val="10"/>
        <c:minorUnit val="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306867891513553"/>
          <c:y val="0.48544983960338289"/>
          <c:w val="0.31526465441819773"/>
          <c:h val="0.320515063822150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Metoprolol Eddington1998</a:t>
            </a:r>
          </a:p>
          <a:p>
            <a:pPr>
              <a:defRPr/>
            </a:pPr>
            <a:r>
              <a:rPr lang="en-US"/>
              <a:t>paddle,</a:t>
            </a:r>
            <a:r>
              <a:rPr lang="en-US" baseline="0"/>
              <a:t> 50rpm, pH 1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72003499562555"/>
          <c:y val="0.17171296296296296"/>
          <c:w val="0.76571697287839025"/>
          <c:h val="0.62271617089530473"/>
        </c:manualLayout>
      </c:layout>
      <c:scatterChart>
        <c:scatterStyle val="lineMarker"/>
        <c:varyColors val="0"/>
        <c:ser>
          <c:idx val="0"/>
          <c:order val="0"/>
          <c:tx>
            <c:strRef>
              <c:f>Dissolution!$Z$18</c:f>
              <c:strCache>
                <c:ptCount val="1"/>
                <c:pt idx="0">
                  <c:v>MR fast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Dissolution!$Z$34:$Z$45</c:f>
              <c:numCache>
                <c:formatCode>0.00</c:formatCode>
                <c:ptCount val="12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10</c:v>
                </c:pt>
                <c:pt idx="11">
                  <c:v>12</c:v>
                </c:pt>
              </c:numCache>
            </c:numRef>
          </c:xVal>
          <c:yVal>
            <c:numRef>
              <c:f>Dissolution!$AA$34:$AA$45</c:f>
              <c:numCache>
                <c:formatCode>0.00</c:formatCode>
                <c:ptCount val="12"/>
                <c:pt idx="0">
                  <c:v>0</c:v>
                </c:pt>
                <c:pt idx="1">
                  <c:v>23</c:v>
                </c:pt>
                <c:pt idx="2">
                  <c:v>36.6</c:v>
                </c:pt>
                <c:pt idx="3">
                  <c:v>47.5</c:v>
                </c:pt>
                <c:pt idx="4">
                  <c:v>57.3</c:v>
                </c:pt>
                <c:pt idx="5">
                  <c:v>74</c:v>
                </c:pt>
                <c:pt idx="6">
                  <c:v>86.6</c:v>
                </c:pt>
                <c:pt idx="7">
                  <c:v>95.7</c:v>
                </c:pt>
                <c:pt idx="8">
                  <c:v>97.899999999999991</c:v>
                </c:pt>
                <c:pt idx="9">
                  <c:v>99.2</c:v>
                </c:pt>
                <c:pt idx="10">
                  <c:v>98.7</c:v>
                </c:pt>
                <c:pt idx="11">
                  <c:v>99.7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Dissolution!$AD$18</c:f>
              <c:strCache>
                <c:ptCount val="1"/>
                <c:pt idx="0">
                  <c:v>MR medium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Dissolution!$AD$34:$AD$46</c:f>
              <c:numCache>
                <c:formatCode>0.00</c:formatCode>
                <c:ptCount val="13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10</c:v>
                </c:pt>
                <c:pt idx="11">
                  <c:v>12</c:v>
                </c:pt>
              </c:numCache>
            </c:numRef>
          </c:xVal>
          <c:yVal>
            <c:numRef>
              <c:f>Dissolution!$AE$34:$AE$46</c:f>
              <c:numCache>
                <c:formatCode>General</c:formatCode>
                <c:ptCount val="13"/>
                <c:pt idx="0">
                  <c:v>0</c:v>
                </c:pt>
                <c:pt idx="1">
                  <c:v>17.399999999999999</c:v>
                </c:pt>
                <c:pt idx="2">
                  <c:v>27.400000000000002</c:v>
                </c:pt>
                <c:pt idx="3">
                  <c:v>35.199999999999996</c:v>
                </c:pt>
                <c:pt idx="4">
                  <c:v>42.3</c:v>
                </c:pt>
                <c:pt idx="5">
                  <c:v>54.500000000000007</c:v>
                </c:pt>
                <c:pt idx="6">
                  <c:v>64.099999999999994</c:v>
                </c:pt>
                <c:pt idx="7">
                  <c:v>72.3</c:v>
                </c:pt>
                <c:pt idx="8">
                  <c:v>79.2</c:v>
                </c:pt>
                <c:pt idx="9">
                  <c:v>89.600000000000009</c:v>
                </c:pt>
                <c:pt idx="10">
                  <c:v>95.1</c:v>
                </c:pt>
                <c:pt idx="11">
                  <c:v>96.399999999999991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Dissolution!$AH$18</c:f>
              <c:strCache>
                <c:ptCount val="1"/>
                <c:pt idx="0">
                  <c:v>MR slow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Dissolution!$AH$34:$AH$45</c:f>
              <c:numCache>
                <c:formatCode>0.00</c:formatCode>
                <c:ptCount val="12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10</c:v>
                </c:pt>
                <c:pt idx="11">
                  <c:v>12</c:v>
                </c:pt>
              </c:numCache>
            </c:numRef>
          </c:xVal>
          <c:yVal>
            <c:numRef>
              <c:f>Dissolution!$AI$34:$AI$45</c:f>
              <c:numCache>
                <c:formatCode>General</c:formatCode>
                <c:ptCount val="12"/>
                <c:pt idx="0">
                  <c:v>0</c:v>
                </c:pt>
                <c:pt idx="1">
                  <c:v>13.600000000000001</c:v>
                </c:pt>
                <c:pt idx="2">
                  <c:v>21.6</c:v>
                </c:pt>
                <c:pt idx="3">
                  <c:v>28.000000000000004</c:v>
                </c:pt>
                <c:pt idx="4">
                  <c:v>33.800000000000004</c:v>
                </c:pt>
                <c:pt idx="5">
                  <c:v>43.6</c:v>
                </c:pt>
                <c:pt idx="6">
                  <c:v>52.1</c:v>
                </c:pt>
                <c:pt idx="7">
                  <c:v>59.4</c:v>
                </c:pt>
                <c:pt idx="8">
                  <c:v>66.3</c:v>
                </c:pt>
                <c:pt idx="9">
                  <c:v>77.8</c:v>
                </c:pt>
                <c:pt idx="10">
                  <c:v>86.9</c:v>
                </c:pt>
                <c:pt idx="11">
                  <c:v>93.7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806184"/>
        <c:axId val="535799520"/>
      </c:scatterChart>
      <c:valAx>
        <c:axId val="535806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799520"/>
        <c:crosses val="autoZero"/>
        <c:crossBetween val="midCat"/>
      </c:valAx>
      <c:valAx>
        <c:axId val="53579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drug released %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8061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Dissolution Sandberg</a:t>
            </a:r>
            <a:r>
              <a:rPr lang="en-US" baseline="0"/>
              <a:t>1988 Beloc Zoc 100mg  </a:t>
            </a:r>
            <a:br>
              <a:rPr lang="en-US" baseline="0"/>
            </a:br>
            <a:r>
              <a:rPr lang="en-US" baseline="0"/>
              <a:t>paddle 100rpm PO4 buffer 500ml</a:t>
            </a:r>
            <a:endParaRPr lang="en-US"/>
          </a:p>
        </c:rich>
      </c:tx>
      <c:layout>
        <c:manualLayout>
          <c:xMode val="edge"/>
          <c:yMode val="edge"/>
          <c:x val="0.16709711286089238"/>
          <c:y val="5.09259259259259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Dissolution!$CA$33</c:f>
              <c:strCache>
                <c:ptCount val="1"/>
                <c:pt idx="0">
                  <c:v>% dissol.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Dissolution!$BZ$34:$BZ$44</c:f>
              <c:numCache>
                <c:formatCode>0.00</c:formatCode>
                <c:ptCount val="11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18</c:v>
                </c:pt>
                <c:pt idx="10">
                  <c:v>20</c:v>
                </c:pt>
              </c:numCache>
            </c:numRef>
          </c:xVal>
          <c:yVal>
            <c:numRef>
              <c:f>Dissolution!$CA$34:$CA$44</c:f>
              <c:numCache>
                <c:formatCode>0</c:formatCode>
                <c:ptCount val="11"/>
                <c:pt idx="0">
                  <c:v>0</c:v>
                </c:pt>
                <c:pt idx="1">
                  <c:v>14.46</c:v>
                </c:pt>
                <c:pt idx="2">
                  <c:v>24.68</c:v>
                </c:pt>
                <c:pt idx="3">
                  <c:v>34.9</c:v>
                </c:pt>
                <c:pt idx="4">
                  <c:v>44.04</c:v>
                </c:pt>
                <c:pt idx="5">
                  <c:v>52.28</c:v>
                </c:pt>
                <c:pt idx="6">
                  <c:v>60.36</c:v>
                </c:pt>
                <c:pt idx="7">
                  <c:v>67.64</c:v>
                </c:pt>
                <c:pt idx="8">
                  <c:v>74.58</c:v>
                </c:pt>
                <c:pt idx="9">
                  <c:v>80.72</c:v>
                </c:pt>
                <c:pt idx="10">
                  <c:v>86.32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801088"/>
        <c:axId val="535802264"/>
      </c:scatterChart>
      <c:valAx>
        <c:axId val="535801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802264"/>
        <c:crosses val="autoZero"/>
        <c:crossBetween val="midCat"/>
      </c:valAx>
      <c:valAx>
        <c:axId val="535802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801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in-vivo</a:t>
            </a:r>
            <a:r>
              <a:rPr lang="en-US" baseline="0"/>
              <a:t> dissolution calculated by numerical devonvolution (WinNonLin 6.2) Söderlind2015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705336832895889"/>
          <c:y val="0.17171296296296296"/>
          <c:w val="0.80727996500437449"/>
          <c:h val="0.70696741032370958"/>
        </c:manualLayout>
      </c:layout>
      <c:scatterChart>
        <c:scatterStyle val="lineMarker"/>
        <c:varyColors val="0"/>
        <c:ser>
          <c:idx val="0"/>
          <c:order val="0"/>
          <c:tx>
            <c:v>Treatment 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Dissolution!$B$159:$B$248</c:f>
              <c:numCache>
                <c:formatCode>0.00</c:formatCode>
                <c:ptCount val="90"/>
                <c:pt idx="0">
                  <c:v>5.11E-2</c:v>
                </c:pt>
                <c:pt idx="1">
                  <c:v>0.41099999999999998</c:v>
                </c:pt>
                <c:pt idx="2">
                  <c:v>0.92800000000000005</c:v>
                </c:pt>
                <c:pt idx="3">
                  <c:v>1.03</c:v>
                </c:pt>
                <c:pt idx="4">
                  <c:v>1.34</c:v>
                </c:pt>
                <c:pt idx="5">
                  <c:v>1.7</c:v>
                </c:pt>
                <c:pt idx="6">
                  <c:v>1.85</c:v>
                </c:pt>
                <c:pt idx="7">
                  <c:v>2.2599999999999998</c:v>
                </c:pt>
                <c:pt idx="8">
                  <c:v>2.57</c:v>
                </c:pt>
                <c:pt idx="9">
                  <c:v>2.83</c:v>
                </c:pt>
                <c:pt idx="10">
                  <c:v>3.24</c:v>
                </c:pt>
                <c:pt idx="11">
                  <c:v>3.45</c:v>
                </c:pt>
                <c:pt idx="12">
                  <c:v>3.86</c:v>
                </c:pt>
                <c:pt idx="13">
                  <c:v>4.12</c:v>
                </c:pt>
                <c:pt idx="14">
                  <c:v>4.53</c:v>
                </c:pt>
                <c:pt idx="15">
                  <c:v>4.79</c:v>
                </c:pt>
                <c:pt idx="16">
                  <c:v>4.99</c:v>
                </c:pt>
                <c:pt idx="17">
                  <c:v>5.4</c:v>
                </c:pt>
                <c:pt idx="18">
                  <c:v>5.76</c:v>
                </c:pt>
                <c:pt idx="19">
                  <c:v>6.13</c:v>
                </c:pt>
                <c:pt idx="20">
                  <c:v>6.38</c:v>
                </c:pt>
                <c:pt idx="21">
                  <c:v>6.64</c:v>
                </c:pt>
                <c:pt idx="22">
                  <c:v>7</c:v>
                </c:pt>
                <c:pt idx="23">
                  <c:v>7.21</c:v>
                </c:pt>
                <c:pt idx="24">
                  <c:v>7.47</c:v>
                </c:pt>
                <c:pt idx="25">
                  <c:v>7.57</c:v>
                </c:pt>
                <c:pt idx="26">
                  <c:v>8.14</c:v>
                </c:pt>
                <c:pt idx="27">
                  <c:v>8.34</c:v>
                </c:pt>
                <c:pt idx="28">
                  <c:v>8.81</c:v>
                </c:pt>
                <c:pt idx="29">
                  <c:v>9.27</c:v>
                </c:pt>
                <c:pt idx="30">
                  <c:v>9.69</c:v>
                </c:pt>
                <c:pt idx="31">
                  <c:v>10.199999999999999</c:v>
                </c:pt>
                <c:pt idx="32">
                  <c:v>10.6</c:v>
                </c:pt>
                <c:pt idx="33">
                  <c:v>11.1</c:v>
                </c:pt>
                <c:pt idx="34">
                  <c:v>11.5</c:v>
                </c:pt>
                <c:pt idx="35">
                  <c:v>12.1</c:v>
                </c:pt>
                <c:pt idx="36">
                  <c:v>12.8</c:v>
                </c:pt>
                <c:pt idx="37">
                  <c:v>13.3</c:v>
                </c:pt>
                <c:pt idx="38">
                  <c:v>13.7</c:v>
                </c:pt>
                <c:pt idx="39">
                  <c:v>14.1</c:v>
                </c:pt>
                <c:pt idx="40">
                  <c:v>14.5</c:v>
                </c:pt>
                <c:pt idx="41">
                  <c:v>15</c:v>
                </c:pt>
                <c:pt idx="42">
                  <c:v>15.5</c:v>
                </c:pt>
                <c:pt idx="43">
                  <c:v>15.9</c:v>
                </c:pt>
                <c:pt idx="44">
                  <c:v>16.3</c:v>
                </c:pt>
                <c:pt idx="45">
                  <c:v>16.8</c:v>
                </c:pt>
                <c:pt idx="46">
                  <c:v>17.2</c:v>
                </c:pt>
                <c:pt idx="47">
                  <c:v>17.600000000000001</c:v>
                </c:pt>
                <c:pt idx="48">
                  <c:v>18.2</c:v>
                </c:pt>
                <c:pt idx="49">
                  <c:v>18.5</c:v>
                </c:pt>
                <c:pt idx="50">
                  <c:v>18.8</c:v>
                </c:pt>
                <c:pt idx="51">
                  <c:v>19.2</c:v>
                </c:pt>
                <c:pt idx="52">
                  <c:v>19.5</c:v>
                </c:pt>
                <c:pt idx="53">
                  <c:v>19.8</c:v>
                </c:pt>
                <c:pt idx="54">
                  <c:v>20</c:v>
                </c:pt>
                <c:pt idx="55">
                  <c:v>20.100000000000001</c:v>
                </c:pt>
                <c:pt idx="56">
                  <c:v>20.5</c:v>
                </c:pt>
                <c:pt idx="57">
                  <c:v>21</c:v>
                </c:pt>
                <c:pt idx="58">
                  <c:v>21.7</c:v>
                </c:pt>
                <c:pt idx="59">
                  <c:v>22.2</c:v>
                </c:pt>
                <c:pt idx="60">
                  <c:v>22.6</c:v>
                </c:pt>
                <c:pt idx="61">
                  <c:v>23.1</c:v>
                </c:pt>
                <c:pt idx="62">
                  <c:v>23.7</c:v>
                </c:pt>
                <c:pt idx="63">
                  <c:v>24.3</c:v>
                </c:pt>
                <c:pt idx="64">
                  <c:v>24.9</c:v>
                </c:pt>
                <c:pt idx="65">
                  <c:v>25.4</c:v>
                </c:pt>
                <c:pt idx="66">
                  <c:v>26.1</c:v>
                </c:pt>
                <c:pt idx="67">
                  <c:v>26.6</c:v>
                </c:pt>
                <c:pt idx="68">
                  <c:v>27.2</c:v>
                </c:pt>
                <c:pt idx="69">
                  <c:v>28</c:v>
                </c:pt>
                <c:pt idx="70">
                  <c:v>28.6</c:v>
                </c:pt>
                <c:pt idx="71">
                  <c:v>29</c:v>
                </c:pt>
                <c:pt idx="72">
                  <c:v>29.6</c:v>
                </c:pt>
                <c:pt idx="73">
                  <c:v>30.3</c:v>
                </c:pt>
                <c:pt idx="74">
                  <c:v>30.9</c:v>
                </c:pt>
                <c:pt idx="75">
                  <c:v>31.1</c:v>
                </c:pt>
                <c:pt idx="76">
                  <c:v>31.5</c:v>
                </c:pt>
                <c:pt idx="77">
                  <c:v>32</c:v>
                </c:pt>
                <c:pt idx="78">
                  <c:v>23.2</c:v>
                </c:pt>
                <c:pt idx="79">
                  <c:v>23.5</c:v>
                </c:pt>
                <c:pt idx="80">
                  <c:v>23.7</c:v>
                </c:pt>
                <c:pt idx="81">
                  <c:v>24.4</c:v>
                </c:pt>
                <c:pt idx="82">
                  <c:v>25.2</c:v>
                </c:pt>
                <c:pt idx="83">
                  <c:v>26.3</c:v>
                </c:pt>
                <c:pt idx="84">
                  <c:v>27.2</c:v>
                </c:pt>
                <c:pt idx="85">
                  <c:v>28.6</c:v>
                </c:pt>
                <c:pt idx="86">
                  <c:v>29.4</c:v>
                </c:pt>
                <c:pt idx="87">
                  <c:v>30.3</c:v>
                </c:pt>
                <c:pt idx="88">
                  <c:v>31.1</c:v>
                </c:pt>
                <c:pt idx="89">
                  <c:v>32</c:v>
                </c:pt>
              </c:numCache>
            </c:numRef>
          </c:xVal>
          <c:yVal>
            <c:numRef>
              <c:f>Dissolution!$D$159:$D$248</c:f>
              <c:numCache>
                <c:formatCode>General</c:formatCode>
                <c:ptCount val="90"/>
                <c:pt idx="0">
                  <c:v>1.3999999999999999E-2</c:v>
                </c:pt>
                <c:pt idx="1">
                  <c:v>5.0200000000000005</c:v>
                </c:pt>
                <c:pt idx="2">
                  <c:v>5.3900000000000006</c:v>
                </c:pt>
                <c:pt idx="3">
                  <c:v>10.4</c:v>
                </c:pt>
                <c:pt idx="4">
                  <c:v>14.7</c:v>
                </c:pt>
                <c:pt idx="5">
                  <c:v>18.3</c:v>
                </c:pt>
                <c:pt idx="6">
                  <c:v>25.4</c:v>
                </c:pt>
                <c:pt idx="7">
                  <c:v>32.9</c:v>
                </c:pt>
                <c:pt idx="8">
                  <c:v>38.299999999999997</c:v>
                </c:pt>
                <c:pt idx="9">
                  <c:v>45.1</c:v>
                </c:pt>
                <c:pt idx="10">
                  <c:v>50.1</c:v>
                </c:pt>
                <c:pt idx="11">
                  <c:v>53.7</c:v>
                </c:pt>
                <c:pt idx="12">
                  <c:v>57.599999999999994</c:v>
                </c:pt>
                <c:pt idx="13">
                  <c:v>60.8</c:v>
                </c:pt>
                <c:pt idx="14">
                  <c:v>64.099999999999994</c:v>
                </c:pt>
                <c:pt idx="15">
                  <c:v>65.8</c:v>
                </c:pt>
                <c:pt idx="16">
                  <c:v>68.300000000000011</c:v>
                </c:pt>
                <c:pt idx="17">
                  <c:v>70.899999999999991</c:v>
                </c:pt>
                <c:pt idx="18">
                  <c:v>73</c:v>
                </c:pt>
                <c:pt idx="19">
                  <c:v>75.2</c:v>
                </c:pt>
                <c:pt idx="20">
                  <c:v>76.599999999999994</c:v>
                </c:pt>
                <c:pt idx="21">
                  <c:v>77.7</c:v>
                </c:pt>
                <c:pt idx="22">
                  <c:v>79.100000000000009</c:v>
                </c:pt>
                <c:pt idx="23">
                  <c:v>79.100000000000009</c:v>
                </c:pt>
                <c:pt idx="24">
                  <c:v>79.100000000000009</c:v>
                </c:pt>
                <c:pt idx="25">
                  <c:v>79.800000000000011</c:v>
                </c:pt>
                <c:pt idx="26">
                  <c:v>79.900000000000006</c:v>
                </c:pt>
                <c:pt idx="27">
                  <c:v>80.600000000000009</c:v>
                </c:pt>
                <c:pt idx="28">
                  <c:v>80.900000000000006</c:v>
                </c:pt>
                <c:pt idx="29">
                  <c:v>81.699999999999989</c:v>
                </c:pt>
                <c:pt idx="30">
                  <c:v>81.699999999999989</c:v>
                </c:pt>
                <c:pt idx="31">
                  <c:v>82.399999999999991</c:v>
                </c:pt>
                <c:pt idx="32">
                  <c:v>82.8</c:v>
                </c:pt>
                <c:pt idx="33">
                  <c:v>83.1</c:v>
                </c:pt>
                <c:pt idx="34">
                  <c:v>83.899999999999991</c:v>
                </c:pt>
                <c:pt idx="35">
                  <c:v>83.2</c:v>
                </c:pt>
                <c:pt idx="36">
                  <c:v>84.3</c:v>
                </c:pt>
                <c:pt idx="37">
                  <c:v>84.3</c:v>
                </c:pt>
                <c:pt idx="38">
                  <c:v>84.6</c:v>
                </c:pt>
                <c:pt idx="39">
                  <c:v>84.6</c:v>
                </c:pt>
                <c:pt idx="40">
                  <c:v>85</c:v>
                </c:pt>
                <c:pt idx="41">
                  <c:v>85</c:v>
                </c:pt>
                <c:pt idx="42">
                  <c:v>85.399999999999991</c:v>
                </c:pt>
                <c:pt idx="43">
                  <c:v>85.399999999999991</c:v>
                </c:pt>
                <c:pt idx="44">
                  <c:v>85.399999999999991</c:v>
                </c:pt>
                <c:pt idx="45">
                  <c:v>85.8</c:v>
                </c:pt>
                <c:pt idx="46">
                  <c:v>86.2</c:v>
                </c:pt>
                <c:pt idx="47">
                  <c:v>86.5</c:v>
                </c:pt>
                <c:pt idx="48">
                  <c:v>86.9</c:v>
                </c:pt>
                <c:pt idx="49">
                  <c:v>86.9</c:v>
                </c:pt>
                <c:pt idx="50">
                  <c:v>86.9</c:v>
                </c:pt>
                <c:pt idx="51">
                  <c:v>86.9</c:v>
                </c:pt>
                <c:pt idx="52">
                  <c:v>87.3</c:v>
                </c:pt>
                <c:pt idx="53">
                  <c:v>87.3</c:v>
                </c:pt>
                <c:pt idx="54">
                  <c:v>87.3</c:v>
                </c:pt>
                <c:pt idx="55">
                  <c:v>87.7</c:v>
                </c:pt>
                <c:pt idx="56">
                  <c:v>88</c:v>
                </c:pt>
                <c:pt idx="57">
                  <c:v>88</c:v>
                </c:pt>
                <c:pt idx="58">
                  <c:v>87.7</c:v>
                </c:pt>
                <c:pt idx="59">
                  <c:v>88.8</c:v>
                </c:pt>
                <c:pt idx="60">
                  <c:v>88.8</c:v>
                </c:pt>
                <c:pt idx="61">
                  <c:v>89.5</c:v>
                </c:pt>
                <c:pt idx="62">
                  <c:v>89.5</c:v>
                </c:pt>
                <c:pt idx="63">
                  <c:v>89.5</c:v>
                </c:pt>
                <c:pt idx="64">
                  <c:v>89.600000000000009</c:v>
                </c:pt>
                <c:pt idx="65">
                  <c:v>90.3</c:v>
                </c:pt>
                <c:pt idx="66">
                  <c:v>90.3</c:v>
                </c:pt>
                <c:pt idx="67">
                  <c:v>90</c:v>
                </c:pt>
                <c:pt idx="68">
                  <c:v>90.7</c:v>
                </c:pt>
                <c:pt idx="69">
                  <c:v>90.7</c:v>
                </c:pt>
                <c:pt idx="70">
                  <c:v>90.4</c:v>
                </c:pt>
                <c:pt idx="71">
                  <c:v>90.7</c:v>
                </c:pt>
                <c:pt idx="72">
                  <c:v>90.7</c:v>
                </c:pt>
                <c:pt idx="73">
                  <c:v>91.100000000000009</c:v>
                </c:pt>
                <c:pt idx="74">
                  <c:v>91.100000000000009</c:v>
                </c:pt>
                <c:pt idx="75">
                  <c:v>91.100000000000009</c:v>
                </c:pt>
                <c:pt idx="76">
                  <c:v>90.8</c:v>
                </c:pt>
                <c:pt idx="77">
                  <c:v>91.5</c:v>
                </c:pt>
                <c:pt idx="78">
                  <c:v>88.2</c:v>
                </c:pt>
                <c:pt idx="79">
                  <c:v>88.2</c:v>
                </c:pt>
                <c:pt idx="80">
                  <c:v>88.2</c:v>
                </c:pt>
                <c:pt idx="81">
                  <c:v>88.9</c:v>
                </c:pt>
                <c:pt idx="82">
                  <c:v>88.9</c:v>
                </c:pt>
                <c:pt idx="83">
                  <c:v>88.6</c:v>
                </c:pt>
                <c:pt idx="84">
                  <c:v>89.600000000000009</c:v>
                </c:pt>
                <c:pt idx="85">
                  <c:v>88.9</c:v>
                </c:pt>
                <c:pt idx="86">
                  <c:v>89.600000000000009</c:v>
                </c:pt>
                <c:pt idx="87">
                  <c:v>89.600000000000009</c:v>
                </c:pt>
                <c:pt idx="88">
                  <c:v>89.600000000000009</c:v>
                </c:pt>
                <c:pt idx="89">
                  <c:v>90</c:v>
                </c:pt>
              </c:numCache>
            </c:numRef>
          </c:yVal>
          <c:smooth val="0"/>
        </c:ser>
        <c:ser>
          <c:idx val="1"/>
          <c:order val="1"/>
          <c:tx>
            <c:v>Treatment B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Dissolution!$F$159:$F$250</c:f>
              <c:numCache>
                <c:formatCode>0.00</c:formatCode>
                <c:ptCount val="92"/>
                <c:pt idx="0">
                  <c:v>0</c:v>
                </c:pt>
                <c:pt idx="1">
                  <c:v>0.107</c:v>
                </c:pt>
                <c:pt idx="2">
                  <c:v>0.67200000000000004</c:v>
                </c:pt>
                <c:pt idx="3">
                  <c:v>1.03</c:v>
                </c:pt>
                <c:pt idx="4">
                  <c:v>1.1399999999999999</c:v>
                </c:pt>
                <c:pt idx="5">
                  <c:v>1.6</c:v>
                </c:pt>
                <c:pt idx="6">
                  <c:v>1.81</c:v>
                </c:pt>
                <c:pt idx="7">
                  <c:v>2.11</c:v>
                </c:pt>
                <c:pt idx="8">
                  <c:v>2.4700000000000002</c:v>
                </c:pt>
                <c:pt idx="9">
                  <c:v>2.73</c:v>
                </c:pt>
                <c:pt idx="10">
                  <c:v>2.99</c:v>
                </c:pt>
                <c:pt idx="11">
                  <c:v>3.4</c:v>
                </c:pt>
                <c:pt idx="12">
                  <c:v>3.76</c:v>
                </c:pt>
                <c:pt idx="13">
                  <c:v>3.92</c:v>
                </c:pt>
                <c:pt idx="14">
                  <c:v>4.33</c:v>
                </c:pt>
                <c:pt idx="15">
                  <c:v>4.8499999999999996</c:v>
                </c:pt>
                <c:pt idx="16">
                  <c:v>5</c:v>
                </c:pt>
                <c:pt idx="17">
                  <c:v>5.21</c:v>
                </c:pt>
                <c:pt idx="18">
                  <c:v>5.67</c:v>
                </c:pt>
                <c:pt idx="19">
                  <c:v>5.98</c:v>
                </c:pt>
                <c:pt idx="20">
                  <c:v>6.24</c:v>
                </c:pt>
                <c:pt idx="21">
                  <c:v>6.65</c:v>
                </c:pt>
                <c:pt idx="22">
                  <c:v>6.8</c:v>
                </c:pt>
                <c:pt idx="23">
                  <c:v>7.16</c:v>
                </c:pt>
                <c:pt idx="24">
                  <c:v>7.63</c:v>
                </c:pt>
                <c:pt idx="25">
                  <c:v>7.83</c:v>
                </c:pt>
                <c:pt idx="26">
                  <c:v>8.09</c:v>
                </c:pt>
                <c:pt idx="27">
                  <c:v>8.61</c:v>
                </c:pt>
                <c:pt idx="28">
                  <c:v>9.02</c:v>
                </c:pt>
                <c:pt idx="29">
                  <c:v>9.5299999999999994</c:v>
                </c:pt>
                <c:pt idx="30">
                  <c:v>9.7899999999999991</c:v>
                </c:pt>
                <c:pt idx="31">
                  <c:v>10.1</c:v>
                </c:pt>
                <c:pt idx="32">
                  <c:v>10.6</c:v>
                </c:pt>
                <c:pt idx="33">
                  <c:v>10.7</c:v>
                </c:pt>
                <c:pt idx="34">
                  <c:v>11</c:v>
                </c:pt>
                <c:pt idx="35">
                  <c:v>11.1</c:v>
                </c:pt>
                <c:pt idx="36">
                  <c:v>11.5</c:v>
                </c:pt>
                <c:pt idx="37">
                  <c:v>11.9</c:v>
                </c:pt>
                <c:pt idx="38">
                  <c:v>12.4</c:v>
                </c:pt>
                <c:pt idx="39">
                  <c:v>12.5</c:v>
                </c:pt>
                <c:pt idx="40">
                  <c:v>12.9</c:v>
                </c:pt>
                <c:pt idx="41">
                  <c:v>13.2</c:v>
                </c:pt>
                <c:pt idx="42">
                  <c:v>13.7</c:v>
                </c:pt>
                <c:pt idx="43">
                  <c:v>13.9</c:v>
                </c:pt>
                <c:pt idx="44">
                  <c:v>14.5</c:v>
                </c:pt>
                <c:pt idx="45">
                  <c:v>15</c:v>
                </c:pt>
                <c:pt idx="46">
                  <c:v>15.1</c:v>
                </c:pt>
                <c:pt idx="47">
                  <c:v>15.6</c:v>
                </c:pt>
                <c:pt idx="48">
                  <c:v>16</c:v>
                </c:pt>
                <c:pt idx="49">
                  <c:v>16.399999999999999</c:v>
                </c:pt>
                <c:pt idx="50">
                  <c:v>16.899999999999999</c:v>
                </c:pt>
                <c:pt idx="51">
                  <c:v>17.3</c:v>
                </c:pt>
                <c:pt idx="52">
                  <c:v>17.8</c:v>
                </c:pt>
                <c:pt idx="53">
                  <c:v>18.2</c:v>
                </c:pt>
                <c:pt idx="54">
                  <c:v>18.7</c:v>
                </c:pt>
                <c:pt idx="55">
                  <c:v>19.2</c:v>
                </c:pt>
                <c:pt idx="56">
                  <c:v>19.7</c:v>
                </c:pt>
                <c:pt idx="57">
                  <c:v>20.2</c:v>
                </c:pt>
                <c:pt idx="58">
                  <c:v>20.7</c:v>
                </c:pt>
                <c:pt idx="59">
                  <c:v>21.4</c:v>
                </c:pt>
                <c:pt idx="60">
                  <c:v>21.7</c:v>
                </c:pt>
                <c:pt idx="61">
                  <c:v>22.1</c:v>
                </c:pt>
                <c:pt idx="62">
                  <c:v>22.4</c:v>
                </c:pt>
                <c:pt idx="63">
                  <c:v>22.9</c:v>
                </c:pt>
                <c:pt idx="64">
                  <c:v>23.2</c:v>
                </c:pt>
                <c:pt idx="65">
                  <c:v>23.6</c:v>
                </c:pt>
                <c:pt idx="66">
                  <c:v>24</c:v>
                </c:pt>
                <c:pt idx="67">
                  <c:v>24.5</c:v>
                </c:pt>
                <c:pt idx="68">
                  <c:v>25</c:v>
                </c:pt>
                <c:pt idx="69">
                  <c:v>25.4</c:v>
                </c:pt>
                <c:pt idx="70">
                  <c:v>25.8</c:v>
                </c:pt>
                <c:pt idx="71">
                  <c:v>26.3</c:v>
                </c:pt>
                <c:pt idx="72">
                  <c:v>26.5</c:v>
                </c:pt>
                <c:pt idx="73">
                  <c:v>26.7</c:v>
                </c:pt>
                <c:pt idx="74">
                  <c:v>27</c:v>
                </c:pt>
                <c:pt idx="75">
                  <c:v>27.3</c:v>
                </c:pt>
                <c:pt idx="76">
                  <c:v>27.5</c:v>
                </c:pt>
                <c:pt idx="77">
                  <c:v>27.8</c:v>
                </c:pt>
                <c:pt idx="78">
                  <c:v>28.1</c:v>
                </c:pt>
                <c:pt idx="79">
                  <c:v>28.3</c:v>
                </c:pt>
                <c:pt idx="80">
                  <c:v>28.7</c:v>
                </c:pt>
                <c:pt idx="81">
                  <c:v>29</c:v>
                </c:pt>
                <c:pt idx="82">
                  <c:v>29.1</c:v>
                </c:pt>
                <c:pt idx="83">
                  <c:v>29.5</c:v>
                </c:pt>
                <c:pt idx="84">
                  <c:v>29.9</c:v>
                </c:pt>
                <c:pt idx="85">
                  <c:v>30.3</c:v>
                </c:pt>
                <c:pt idx="86">
                  <c:v>30.5</c:v>
                </c:pt>
                <c:pt idx="87">
                  <c:v>30.8</c:v>
                </c:pt>
                <c:pt idx="88">
                  <c:v>31</c:v>
                </c:pt>
                <c:pt idx="89">
                  <c:v>31.2</c:v>
                </c:pt>
                <c:pt idx="90">
                  <c:v>31.4</c:v>
                </c:pt>
                <c:pt idx="91">
                  <c:v>31.7</c:v>
                </c:pt>
              </c:numCache>
            </c:numRef>
          </c:xVal>
          <c:yVal>
            <c:numRef>
              <c:f>Dissolution!$H$159:$H$250</c:f>
              <c:numCache>
                <c:formatCode>General</c:formatCode>
                <c:ptCount val="92"/>
                <c:pt idx="0">
                  <c:v>0</c:v>
                </c:pt>
                <c:pt idx="1">
                  <c:v>5.37</c:v>
                </c:pt>
                <c:pt idx="2">
                  <c:v>5.7</c:v>
                </c:pt>
                <c:pt idx="3">
                  <c:v>7.12</c:v>
                </c:pt>
                <c:pt idx="4">
                  <c:v>7.8299999999999992</c:v>
                </c:pt>
                <c:pt idx="5">
                  <c:v>9.6100000000000012</c:v>
                </c:pt>
                <c:pt idx="6">
                  <c:v>12.1</c:v>
                </c:pt>
                <c:pt idx="7">
                  <c:v>13.5</c:v>
                </c:pt>
                <c:pt idx="8">
                  <c:v>14.6</c:v>
                </c:pt>
                <c:pt idx="9">
                  <c:v>17.100000000000001</c:v>
                </c:pt>
                <c:pt idx="10">
                  <c:v>18.899999999999999</c:v>
                </c:pt>
                <c:pt idx="11">
                  <c:v>21</c:v>
                </c:pt>
                <c:pt idx="12">
                  <c:v>23.5</c:v>
                </c:pt>
                <c:pt idx="13">
                  <c:v>26</c:v>
                </c:pt>
                <c:pt idx="14">
                  <c:v>29.299999999999997</c:v>
                </c:pt>
                <c:pt idx="15">
                  <c:v>31.4</c:v>
                </c:pt>
                <c:pt idx="16">
                  <c:v>33.900000000000006</c:v>
                </c:pt>
                <c:pt idx="17">
                  <c:v>35</c:v>
                </c:pt>
                <c:pt idx="18">
                  <c:v>36</c:v>
                </c:pt>
                <c:pt idx="19">
                  <c:v>37.799999999999997</c:v>
                </c:pt>
                <c:pt idx="20">
                  <c:v>38.200000000000003</c:v>
                </c:pt>
                <c:pt idx="21">
                  <c:v>40.300000000000004</c:v>
                </c:pt>
                <c:pt idx="22">
                  <c:v>42.4</c:v>
                </c:pt>
                <c:pt idx="23">
                  <c:v>44.2</c:v>
                </c:pt>
                <c:pt idx="24">
                  <c:v>45.6</c:v>
                </c:pt>
                <c:pt idx="25">
                  <c:v>48.1</c:v>
                </c:pt>
                <c:pt idx="26">
                  <c:v>49.6</c:v>
                </c:pt>
                <c:pt idx="27">
                  <c:v>51.300000000000004</c:v>
                </c:pt>
                <c:pt idx="28">
                  <c:v>53.800000000000004</c:v>
                </c:pt>
                <c:pt idx="29">
                  <c:v>56.000000000000007</c:v>
                </c:pt>
                <c:pt idx="30">
                  <c:v>57.4</c:v>
                </c:pt>
                <c:pt idx="31">
                  <c:v>59.5</c:v>
                </c:pt>
                <c:pt idx="32">
                  <c:v>61</c:v>
                </c:pt>
                <c:pt idx="33">
                  <c:v>63.5</c:v>
                </c:pt>
                <c:pt idx="34">
                  <c:v>65.2</c:v>
                </c:pt>
                <c:pt idx="35">
                  <c:v>65.600000000000009</c:v>
                </c:pt>
                <c:pt idx="36">
                  <c:v>65.600000000000009</c:v>
                </c:pt>
                <c:pt idx="37">
                  <c:v>68.8</c:v>
                </c:pt>
                <c:pt idx="38">
                  <c:v>71.3</c:v>
                </c:pt>
                <c:pt idx="39">
                  <c:v>72.399999999999991</c:v>
                </c:pt>
                <c:pt idx="40">
                  <c:v>73.8</c:v>
                </c:pt>
                <c:pt idx="41">
                  <c:v>74.5</c:v>
                </c:pt>
                <c:pt idx="42">
                  <c:v>75.900000000000006</c:v>
                </c:pt>
                <c:pt idx="43">
                  <c:v>78.100000000000009</c:v>
                </c:pt>
                <c:pt idx="44">
                  <c:v>78.7</c:v>
                </c:pt>
                <c:pt idx="45">
                  <c:v>79.100000000000009</c:v>
                </c:pt>
                <c:pt idx="46">
                  <c:v>80.100000000000009</c:v>
                </c:pt>
                <c:pt idx="47">
                  <c:v>80.5</c:v>
                </c:pt>
                <c:pt idx="48">
                  <c:v>80.800000000000011</c:v>
                </c:pt>
                <c:pt idx="49">
                  <c:v>81.899999999999991</c:v>
                </c:pt>
                <c:pt idx="50">
                  <c:v>82.899999999999991</c:v>
                </c:pt>
                <c:pt idx="51">
                  <c:v>84</c:v>
                </c:pt>
                <c:pt idx="52">
                  <c:v>84.3</c:v>
                </c:pt>
                <c:pt idx="53">
                  <c:v>85</c:v>
                </c:pt>
                <c:pt idx="54">
                  <c:v>85</c:v>
                </c:pt>
                <c:pt idx="55">
                  <c:v>86.4</c:v>
                </c:pt>
                <c:pt idx="56">
                  <c:v>86.8</c:v>
                </c:pt>
                <c:pt idx="57">
                  <c:v>87.1</c:v>
                </c:pt>
                <c:pt idx="58">
                  <c:v>87.8</c:v>
                </c:pt>
                <c:pt idx="59">
                  <c:v>88.5</c:v>
                </c:pt>
                <c:pt idx="60">
                  <c:v>88.8</c:v>
                </c:pt>
                <c:pt idx="61">
                  <c:v>88.8</c:v>
                </c:pt>
                <c:pt idx="62">
                  <c:v>89.5</c:v>
                </c:pt>
                <c:pt idx="63">
                  <c:v>89.1</c:v>
                </c:pt>
                <c:pt idx="64">
                  <c:v>89.8</c:v>
                </c:pt>
                <c:pt idx="65">
                  <c:v>89.8</c:v>
                </c:pt>
                <c:pt idx="66">
                  <c:v>90.100000000000009</c:v>
                </c:pt>
                <c:pt idx="67">
                  <c:v>89.7</c:v>
                </c:pt>
                <c:pt idx="68">
                  <c:v>90.4</c:v>
                </c:pt>
                <c:pt idx="69">
                  <c:v>90.100000000000009</c:v>
                </c:pt>
                <c:pt idx="70">
                  <c:v>90</c:v>
                </c:pt>
                <c:pt idx="71">
                  <c:v>90.4</c:v>
                </c:pt>
                <c:pt idx="72">
                  <c:v>90.4</c:v>
                </c:pt>
                <c:pt idx="73">
                  <c:v>90.4</c:v>
                </c:pt>
                <c:pt idx="74">
                  <c:v>90.3</c:v>
                </c:pt>
                <c:pt idx="75">
                  <c:v>90.3</c:v>
                </c:pt>
                <c:pt idx="76">
                  <c:v>90.3</c:v>
                </c:pt>
                <c:pt idx="77">
                  <c:v>90.3</c:v>
                </c:pt>
                <c:pt idx="78">
                  <c:v>90.600000000000009</c:v>
                </c:pt>
                <c:pt idx="79">
                  <c:v>91</c:v>
                </c:pt>
                <c:pt idx="80">
                  <c:v>91</c:v>
                </c:pt>
                <c:pt idx="81">
                  <c:v>91</c:v>
                </c:pt>
                <c:pt idx="82">
                  <c:v>91</c:v>
                </c:pt>
                <c:pt idx="83">
                  <c:v>90.600000000000009</c:v>
                </c:pt>
                <c:pt idx="84">
                  <c:v>90.600000000000009</c:v>
                </c:pt>
                <c:pt idx="85">
                  <c:v>90.5</c:v>
                </c:pt>
                <c:pt idx="86">
                  <c:v>90.5</c:v>
                </c:pt>
                <c:pt idx="87">
                  <c:v>90.5</c:v>
                </c:pt>
                <c:pt idx="88">
                  <c:v>90.5</c:v>
                </c:pt>
                <c:pt idx="89">
                  <c:v>91.2</c:v>
                </c:pt>
                <c:pt idx="90">
                  <c:v>91.2</c:v>
                </c:pt>
                <c:pt idx="91">
                  <c:v>91.2</c:v>
                </c:pt>
              </c:numCache>
            </c:numRef>
          </c:yVal>
          <c:smooth val="0"/>
        </c:ser>
        <c:ser>
          <c:idx val="2"/>
          <c:order val="2"/>
          <c:tx>
            <c:v>Treatment C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Dissolution!$J$159:$J$251</c:f>
              <c:numCache>
                <c:formatCode>#,##0.00</c:formatCode>
                <c:ptCount val="93"/>
                <c:pt idx="0">
                  <c:v>0.10299999999999999</c:v>
                </c:pt>
                <c:pt idx="1">
                  <c:v>0.40300000000000002</c:v>
                </c:pt>
                <c:pt idx="2">
                  <c:v>0.66</c:v>
                </c:pt>
                <c:pt idx="3">
                  <c:v>0.55600000000000005</c:v>
                </c:pt>
                <c:pt idx="4">
                  <c:v>0.97</c:v>
                </c:pt>
                <c:pt idx="5">
                  <c:v>1.18</c:v>
                </c:pt>
                <c:pt idx="6">
                  <c:v>1.59</c:v>
                </c:pt>
                <c:pt idx="7">
                  <c:v>1.95</c:v>
                </c:pt>
                <c:pt idx="8">
                  <c:v>2.37</c:v>
                </c:pt>
                <c:pt idx="9">
                  <c:v>2.68</c:v>
                </c:pt>
                <c:pt idx="10">
                  <c:v>2.93</c:v>
                </c:pt>
                <c:pt idx="11">
                  <c:v>3.19</c:v>
                </c:pt>
                <c:pt idx="12">
                  <c:v>3.56</c:v>
                </c:pt>
                <c:pt idx="13">
                  <c:v>4.0199999999999996</c:v>
                </c:pt>
                <c:pt idx="14">
                  <c:v>4.38</c:v>
                </c:pt>
                <c:pt idx="15">
                  <c:v>4.6900000000000004</c:v>
                </c:pt>
                <c:pt idx="16">
                  <c:v>4.8</c:v>
                </c:pt>
                <c:pt idx="17">
                  <c:v>5.05</c:v>
                </c:pt>
                <c:pt idx="18">
                  <c:v>5.36</c:v>
                </c:pt>
                <c:pt idx="19">
                  <c:v>5.73</c:v>
                </c:pt>
                <c:pt idx="20">
                  <c:v>5.93</c:v>
                </c:pt>
                <c:pt idx="21">
                  <c:v>6.29</c:v>
                </c:pt>
                <c:pt idx="22">
                  <c:v>6.66</c:v>
                </c:pt>
                <c:pt idx="23">
                  <c:v>6.86</c:v>
                </c:pt>
                <c:pt idx="24">
                  <c:v>7.07</c:v>
                </c:pt>
                <c:pt idx="25">
                  <c:v>7.33</c:v>
                </c:pt>
                <c:pt idx="26">
                  <c:v>7.53</c:v>
                </c:pt>
                <c:pt idx="27">
                  <c:v>7.69</c:v>
                </c:pt>
                <c:pt idx="28">
                  <c:v>7.9</c:v>
                </c:pt>
                <c:pt idx="29">
                  <c:v>8.0500000000000007</c:v>
                </c:pt>
                <c:pt idx="30">
                  <c:v>8.26</c:v>
                </c:pt>
                <c:pt idx="31">
                  <c:v>8.41</c:v>
                </c:pt>
                <c:pt idx="32">
                  <c:v>8.6199999999999992</c:v>
                </c:pt>
                <c:pt idx="33">
                  <c:v>8.98</c:v>
                </c:pt>
                <c:pt idx="34">
                  <c:v>9.34</c:v>
                </c:pt>
                <c:pt idx="35">
                  <c:v>9.4499999999999993</c:v>
                </c:pt>
                <c:pt idx="36">
                  <c:v>9.76</c:v>
                </c:pt>
                <c:pt idx="37">
                  <c:v>10</c:v>
                </c:pt>
                <c:pt idx="38">
                  <c:v>10.4</c:v>
                </c:pt>
                <c:pt idx="39">
                  <c:v>10.7</c:v>
                </c:pt>
                <c:pt idx="40">
                  <c:v>11.1</c:v>
                </c:pt>
                <c:pt idx="41">
                  <c:v>11.2</c:v>
                </c:pt>
                <c:pt idx="42">
                  <c:v>11.4</c:v>
                </c:pt>
                <c:pt idx="43">
                  <c:v>11.5</c:v>
                </c:pt>
                <c:pt idx="44">
                  <c:v>12</c:v>
                </c:pt>
                <c:pt idx="45">
                  <c:v>12.1</c:v>
                </c:pt>
                <c:pt idx="46">
                  <c:v>12.8</c:v>
                </c:pt>
                <c:pt idx="47">
                  <c:v>13.1</c:v>
                </c:pt>
                <c:pt idx="48">
                  <c:v>13.4</c:v>
                </c:pt>
                <c:pt idx="49">
                  <c:v>13.6</c:v>
                </c:pt>
                <c:pt idx="50">
                  <c:v>13.9</c:v>
                </c:pt>
                <c:pt idx="51">
                  <c:v>14.1</c:v>
                </c:pt>
                <c:pt idx="52">
                  <c:v>14.4</c:v>
                </c:pt>
                <c:pt idx="53">
                  <c:v>15</c:v>
                </c:pt>
                <c:pt idx="54">
                  <c:v>15.4</c:v>
                </c:pt>
                <c:pt idx="55">
                  <c:v>16</c:v>
                </c:pt>
                <c:pt idx="56">
                  <c:v>16.3</c:v>
                </c:pt>
                <c:pt idx="57">
                  <c:v>16.7</c:v>
                </c:pt>
                <c:pt idx="58">
                  <c:v>17.3</c:v>
                </c:pt>
                <c:pt idx="59">
                  <c:v>17.8</c:v>
                </c:pt>
                <c:pt idx="60">
                  <c:v>18</c:v>
                </c:pt>
                <c:pt idx="61">
                  <c:v>18.399999999999999</c:v>
                </c:pt>
                <c:pt idx="62">
                  <c:v>18.8</c:v>
                </c:pt>
                <c:pt idx="63">
                  <c:v>19.100000000000001</c:v>
                </c:pt>
                <c:pt idx="64">
                  <c:v>19.3</c:v>
                </c:pt>
                <c:pt idx="65">
                  <c:v>19.8</c:v>
                </c:pt>
                <c:pt idx="66">
                  <c:v>20.100000000000001</c:v>
                </c:pt>
                <c:pt idx="67">
                  <c:v>20.6</c:v>
                </c:pt>
                <c:pt idx="68">
                  <c:v>21.1</c:v>
                </c:pt>
                <c:pt idx="69">
                  <c:v>21.6</c:v>
                </c:pt>
                <c:pt idx="70">
                  <c:v>22.2</c:v>
                </c:pt>
                <c:pt idx="71">
                  <c:v>22.5</c:v>
                </c:pt>
                <c:pt idx="72">
                  <c:v>23</c:v>
                </c:pt>
                <c:pt idx="73">
                  <c:v>23.4</c:v>
                </c:pt>
                <c:pt idx="74">
                  <c:v>24</c:v>
                </c:pt>
                <c:pt idx="75">
                  <c:v>24.5</c:v>
                </c:pt>
                <c:pt idx="76">
                  <c:v>25.1</c:v>
                </c:pt>
                <c:pt idx="77">
                  <c:v>25.6</c:v>
                </c:pt>
                <c:pt idx="78">
                  <c:v>26.1</c:v>
                </c:pt>
                <c:pt idx="79">
                  <c:v>26.6</c:v>
                </c:pt>
                <c:pt idx="80">
                  <c:v>27.2</c:v>
                </c:pt>
                <c:pt idx="81">
                  <c:v>27.8</c:v>
                </c:pt>
                <c:pt idx="82">
                  <c:v>28.2</c:v>
                </c:pt>
                <c:pt idx="83">
                  <c:v>28.7</c:v>
                </c:pt>
                <c:pt idx="84">
                  <c:v>28.9</c:v>
                </c:pt>
                <c:pt idx="85">
                  <c:v>29.4</c:v>
                </c:pt>
                <c:pt idx="86">
                  <c:v>29.9</c:v>
                </c:pt>
                <c:pt idx="87">
                  <c:v>30.4</c:v>
                </c:pt>
                <c:pt idx="88">
                  <c:v>30.8</c:v>
                </c:pt>
                <c:pt idx="89">
                  <c:v>31.1</c:v>
                </c:pt>
                <c:pt idx="90">
                  <c:v>31.2</c:v>
                </c:pt>
                <c:pt idx="91">
                  <c:v>31.5</c:v>
                </c:pt>
                <c:pt idx="92">
                  <c:v>32.1</c:v>
                </c:pt>
              </c:numCache>
            </c:numRef>
          </c:xVal>
          <c:yVal>
            <c:numRef>
              <c:f>Dissolution!$L$159:$L$251</c:f>
              <c:numCache>
                <c:formatCode>General</c:formatCode>
                <c:ptCount val="93"/>
                <c:pt idx="0">
                  <c:v>0</c:v>
                </c:pt>
                <c:pt idx="1">
                  <c:v>39.4</c:v>
                </c:pt>
                <c:pt idx="2">
                  <c:v>48</c:v>
                </c:pt>
                <c:pt idx="3">
                  <c:v>50.9</c:v>
                </c:pt>
                <c:pt idx="4">
                  <c:v>50.9</c:v>
                </c:pt>
                <c:pt idx="5">
                  <c:v>50.9</c:v>
                </c:pt>
                <c:pt idx="6">
                  <c:v>50.9</c:v>
                </c:pt>
                <c:pt idx="7">
                  <c:v>51.6</c:v>
                </c:pt>
                <c:pt idx="8">
                  <c:v>51.6</c:v>
                </c:pt>
                <c:pt idx="9">
                  <c:v>51.6</c:v>
                </c:pt>
                <c:pt idx="10">
                  <c:v>51.6</c:v>
                </c:pt>
                <c:pt idx="11">
                  <c:v>51.6</c:v>
                </c:pt>
                <c:pt idx="12">
                  <c:v>51.6</c:v>
                </c:pt>
                <c:pt idx="13">
                  <c:v>51.300000000000004</c:v>
                </c:pt>
                <c:pt idx="14">
                  <c:v>52</c:v>
                </c:pt>
                <c:pt idx="15">
                  <c:v>54.1</c:v>
                </c:pt>
                <c:pt idx="16">
                  <c:v>54.1</c:v>
                </c:pt>
                <c:pt idx="17">
                  <c:v>56.3</c:v>
                </c:pt>
                <c:pt idx="18">
                  <c:v>58.8</c:v>
                </c:pt>
                <c:pt idx="19">
                  <c:v>61.3</c:v>
                </c:pt>
                <c:pt idx="20">
                  <c:v>64.2</c:v>
                </c:pt>
                <c:pt idx="21">
                  <c:v>65.600000000000009</c:v>
                </c:pt>
                <c:pt idx="22">
                  <c:v>66.3</c:v>
                </c:pt>
                <c:pt idx="23">
                  <c:v>67</c:v>
                </c:pt>
                <c:pt idx="24">
                  <c:v>68.100000000000009</c:v>
                </c:pt>
                <c:pt idx="25">
                  <c:v>68.100000000000009</c:v>
                </c:pt>
                <c:pt idx="26">
                  <c:v>68.8</c:v>
                </c:pt>
                <c:pt idx="27">
                  <c:v>68.8</c:v>
                </c:pt>
                <c:pt idx="28">
                  <c:v>69.199999999999989</c:v>
                </c:pt>
                <c:pt idx="29">
                  <c:v>69.199999999999989</c:v>
                </c:pt>
                <c:pt idx="30">
                  <c:v>69.199999999999989</c:v>
                </c:pt>
                <c:pt idx="31">
                  <c:v>69.5</c:v>
                </c:pt>
                <c:pt idx="32">
                  <c:v>69.5</c:v>
                </c:pt>
                <c:pt idx="33">
                  <c:v>69.899999999999991</c:v>
                </c:pt>
                <c:pt idx="34">
                  <c:v>70.599999999999994</c:v>
                </c:pt>
                <c:pt idx="35">
                  <c:v>70.599999999999994</c:v>
                </c:pt>
                <c:pt idx="36">
                  <c:v>70.599999999999994</c:v>
                </c:pt>
                <c:pt idx="37">
                  <c:v>71.3</c:v>
                </c:pt>
                <c:pt idx="38">
                  <c:v>71.7</c:v>
                </c:pt>
                <c:pt idx="39">
                  <c:v>71.3</c:v>
                </c:pt>
                <c:pt idx="40">
                  <c:v>71.7</c:v>
                </c:pt>
                <c:pt idx="41">
                  <c:v>71.7</c:v>
                </c:pt>
                <c:pt idx="42">
                  <c:v>71.7</c:v>
                </c:pt>
                <c:pt idx="43">
                  <c:v>71.7</c:v>
                </c:pt>
                <c:pt idx="44">
                  <c:v>72</c:v>
                </c:pt>
                <c:pt idx="45">
                  <c:v>72.8</c:v>
                </c:pt>
                <c:pt idx="46">
                  <c:v>72</c:v>
                </c:pt>
                <c:pt idx="47">
                  <c:v>72.8</c:v>
                </c:pt>
                <c:pt idx="48">
                  <c:v>72.8</c:v>
                </c:pt>
                <c:pt idx="49">
                  <c:v>72.8</c:v>
                </c:pt>
                <c:pt idx="50">
                  <c:v>72.8</c:v>
                </c:pt>
                <c:pt idx="51">
                  <c:v>72.8</c:v>
                </c:pt>
                <c:pt idx="52">
                  <c:v>73.099999999999994</c:v>
                </c:pt>
                <c:pt idx="53">
                  <c:v>72.8</c:v>
                </c:pt>
                <c:pt idx="54">
                  <c:v>72.8</c:v>
                </c:pt>
                <c:pt idx="55">
                  <c:v>72.8</c:v>
                </c:pt>
                <c:pt idx="56">
                  <c:v>73.5</c:v>
                </c:pt>
                <c:pt idx="57">
                  <c:v>73.5</c:v>
                </c:pt>
                <c:pt idx="58">
                  <c:v>73.8</c:v>
                </c:pt>
                <c:pt idx="59">
                  <c:v>74.2</c:v>
                </c:pt>
                <c:pt idx="60">
                  <c:v>74.2</c:v>
                </c:pt>
                <c:pt idx="61">
                  <c:v>74.2</c:v>
                </c:pt>
                <c:pt idx="62">
                  <c:v>74.599999999999994</c:v>
                </c:pt>
                <c:pt idx="63">
                  <c:v>74.599999999999994</c:v>
                </c:pt>
                <c:pt idx="64">
                  <c:v>74.599999999999994</c:v>
                </c:pt>
                <c:pt idx="65">
                  <c:v>74.900000000000006</c:v>
                </c:pt>
                <c:pt idx="66">
                  <c:v>74.900000000000006</c:v>
                </c:pt>
                <c:pt idx="67">
                  <c:v>75.3</c:v>
                </c:pt>
                <c:pt idx="68">
                  <c:v>75.3</c:v>
                </c:pt>
                <c:pt idx="69">
                  <c:v>75.599999999999994</c:v>
                </c:pt>
                <c:pt idx="70">
                  <c:v>75.599999999999994</c:v>
                </c:pt>
                <c:pt idx="71">
                  <c:v>75.599999999999994</c:v>
                </c:pt>
                <c:pt idx="72">
                  <c:v>75.599999999999994</c:v>
                </c:pt>
                <c:pt idx="73">
                  <c:v>75.599999999999994</c:v>
                </c:pt>
                <c:pt idx="74">
                  <c:v>76</c:v>
                </c:pt>
                <c:pt idx="75">
                  <c:v>76</c:v>
                </c:pt>
                <c:pt idx="76">
                  <c:v>76</c:v>
                </c:pt>
                <c:pt idx="77">
                  <c:v>76.3</c:v>
                </c:pt>
                <c:pt idx="78">
                  <c:v>76.7</c:v>
                </c:pt>
                <c:pt idx="79">
                  <c:v>76.3</c:v>
                </c:pt>
                <c:pt idx="80">
                  <c:v>76.3</c:v>
                </c:pt>
                <c:pt idx="81">
                  <c:v>76.3</c:v>
                </c:pt>
                <c:pt idx="82">
                  <c:v>76.7</c:v>
                </c:pt>
                <c:pt idx="83">
                  <c:v>76.7</c:v>
                </c:pt>
                <c:pt idx="84">
                  <c:v>76.7</c:v>
                </c:pt>
                <c:pt idx="85">
                  <c:v>76.7</c:v>
                </c:pt>
                <c:pt idx="86">
                  <c:v>77.100000000000009</c:v>
                </c:pt>
                <c:pt idx="87">
                  <c:v>77.100000000000009</c:v>
                </c:pt>
                <c:pt idx="88">
                  <c:v>77.100000000000009</c:v>
                </c:pt>
                <c:pt idx="89">
                  <c:v>77.100000000000009</c:v>
                </c:pt>
                <c:pt idx="90">
                  <c:v>77.100000000000009</c:v>
                </c:pt>
                <c:pt idx="91">
                  <c:v>77.100000000000009</c:v>
                </c:pt>
                <c:pt idx="92">
                  <c:v>77.400000000000006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804616"/>
        <c:axId val="535801872"/>
      </c:scatterChart>
      <c:valAx>
        <c:axId val="535804616"/>
        <c:scaling>
          <c:orientation val="minMax"/>
          <c:max val="3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801872"/>
        <c:crosses val="autoZero"/>
        <c:crossBetween val="midCat"/>
        <c:majorUnit val="4"/>
        <c:minorUnit val="1"/>
      </c:valAx>
      <c:valAx>
        <c:axId val="535801872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 absorbed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5804616"/>
        <c:crosses val="autoZero"/>
        <c:crossBetween val="midCat"/>
        <c:majorUnit val="10"/>
        <c:minorUnit val="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033324788123598"/>
          <c:y val="0.55725662614017013"/>
          <c:w val="0.31526465441819773"/>
          <c:h val="0.320515063822150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 human N=6 10mg metoprolol solution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705336832895889"/>
          <c:y val="0.17171296296296296"/>
          <c:w val="0.77516119860017496"/>
          <c:h val="0.622716170895304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'Mean Cp_PK'!$AP$16</c:f>
              <c:strCache>
                <c:ptCount val="1"/>
                <c:pt idx="0">
                  <c:v>iv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2.6818897971401003E-2"/>
                  <c:y val="-3.530876348789734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'Mean Cp_PK'!$AP$45:$AP$63</c:f>
              <c:numCache>
                <c:formatCode>0.00</c:formatCode>
                <c:ptCount val="19"/>
                <c:pt idx="0">
                  <c:v>0.17899999999999999</c:v>
                </c:pt>
                <c:pt idx="1">
                  <c:v>0.20300000000000001</c:v>
                </c:pt>
                <c:pt idx="2">
                  <c:v>0.314</c:v>
                </c:pt>
                <c:pt idx="3">
                  <c:v>0.374</c:v>
                </c:pt>
                <c:pt idx="4">
                  <c:v>0.55800000000000005</c:v>
                </c:pt>
                <c:pt idx="5">
                  <c:v>0.71699999999999997</c:v>
                </c:pt>
                <c:pt idx="6">
                  <c:v>0.90100000000000002</c:v>
                </c:pt>
                <c:pt idx="7">
                  <c:v>1</c:v>
                </c:pt>
                <c:pt idx="8">
                  <c:v>1.5</c:v>
                </c:pt>
                <c:pt idx="9">
                  <c:v>1.75</c:v>
                </c:pt>
                <c:pt idx="10">
                  <c:v>2.08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  <c:pt idx="16">
                  <c:v>8</c:v>
                </c:pt>
                <c:pt idx="17">
                  <c:v>10</c:v>
                </c:pt>
                <c:pt idx="18">
                  <c:v>12</c:v>
                </c:pt>
              </c:numCache>
            </c:numRef>
          </c:xVal>
          <c:yVal>
            <c:numRef>
              <c:f>'Mean Cp_PK'!$AQ$45:$AQ$63</c:f>
              <c:numCache>
                <c:formatCode>0.00</c:formatCode>
                <c:ptCount val="19"/>
                <c:pt idx="0">
                  <c:v>21.5</c:v>
                </c:pt>
                <c:pt idx="1">
                  <c:v>17</c:v>
                </c:pt>
                <c:pt idx="2">
                  <c:v>18</c:v>
                </c:pt>
                <c:pt idx="3">
                  <c:v>15</c:v>
                </c:pt>
                <c:pt idx="4">
                  <c:v>13.3</c:v>
                </c:pt>
                <c:pt idx="5">
                  <c:v>11.9</c:v>
                </c:pt>
                <c:pt idx="6">
                  <c:v>11.7</c:v>
                </c:pt>
                <c:pt idx="7">
                  <c:v>10.7</c:v>
                </c:pt>
                <c:pt idx="8">
                  <c:v>10.3</c:v>
                </c:pt>
                <c:pt idx="9">
                  <c:v>9.2799999999999994</c:v>
                </c:pt>
                <c:pt idx="10">
                  <c:v>8.81</c:v>
                </c:pt>
                <c:pt idx="11">
                  <c:v>7.21</c:v>
                </c:pt>
                <c:pt idx="12">
                  <c:v>5.59</c:v>
                </c:pt>
                <c:pt idx="13">
                  <c:v>5.18</c:v>
                </c:pt>
                <c:pt idx="14">
                  <c:v>4.0199999999999996</c:v>
                </c:pt>
                <c:pt idx="15">
                  <c:v>3.29</c:v>
                </c:pt>
                <c:pt idx="16">
                  <c:v>2.71</c:v>
                </c:pt>
                <c:pt idx="17">
                  <c:v>1.57</c:v>
                </c:pt>
                <c:pt idx="18">
                  <c:v>1.08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'Mean Cp_PK'!$AT$16</c:f>
              <c:strCache>
                <c:ptCount val="1"/>
                <c:pt idx="0">
                  <c:v>po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'Mean Cp_PK'!$AT$45:$AT$60</c:f>
              <c:numCache>
                <c:formatCode>0.00</c:formatCode>
                <c:ptCount val="16"/>
                <c:pt idx="0">
                  <c:v>0.314</c:v>
                </c:pt>
                <c:pt idx="1">
                  <c:v>0.443</c:v>
                </c:pt>
                <c:pt idx="2">
                  <c:v>0.61399999999999999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2.5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7</c:v>
                </c:pt>
                <c:pt idx="15">
                  <c:v>8</c:v>
                </c:pt>
              </c:numCache>
            </c:numRef>
          </c:xVal>
          <c:yVal>
            <c:numRef>
              <c:f>'Mean Cp_PK'!$AU$45:$AU$60</c:f>
              <c:numCache>
                <c:formatCode>0.00</c:formatCode>
                <c:ptCount val="16"/>
                <c:pt idx="0">
                  <c:v>1.67</c:v>
                </c:pt>
                <c:pt idx="1">
                  <c:v>5.22</c:v>
                </c:pt>
                <c:pt idx="2">
                  <c:v>5.99</c:v>
                </c:pt>
                <c:pt idx="3">
                  <c:v>6.94</c:v>
                </c:pt>
                <c:pt idx="4">
                  <c:v>7.17</c:v>
                </c:pt>
                <c:pt idx="5">
                  <c:v>5.47</c:v>
                </c:pt>
                <c:pt idx="6">
                  <c:v>5.41</c:v>
                </c:pt>
                <c:pt idx="7">
                  <c:v>4.8600000000000003</c:v>
                </c:pt>
                <c:pt idx="8">
                  <c:v>4.57</c:v>
                </c:pt>
                <c:pt idx="9">
                  <c:v>4.17</c:v>
                </c:pt>
                <c:pt idx="10">
                  <c:v>3.62</c:v>
                </c:pt>
                <c:pt idx="11">
                  <c:v>2.91</c:v>
                </c:pt>
                <c:pt idx="12">
                  <c:v>2.04</c:v>
                </c:pt>
                <c:pt idx="13">
                  <c:v>1.6</c:v>
                </c:pt>
                <c:pt idx="14">
                  <c:v>1.45</c:v>
                </c:pt>
                <c:pt idx="15">
                  <c:v>0.91300000000000003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'Mean Cp_PK'!$BF$9</c:f>
              <c:strCache>
                <c:ptCount val="1"/>
                <c:pt idx="0">
                  <c:v>Regardh1980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7104672322620227"/>
                  <c:y val="-0.3131592373613513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'Mean Cp_PK'!$BF$45:$BF$55</c:f>
              <c:numCache>
                <c:formatCode>0.00</c:formatCode>
                <c:ptCount val="11"/>
                <c:pt idx="0">
                  <c:v>8.3333333333333329E-2</c:v>
                </c:pt>
                <c:pt idx="1">
                  <c:v>0.16666666666666666</c:v>
                </c:pt>
                <c:pt idx="2">
                  <c:v>0.25</c:v>
                </c:pt>
                <c:pt idx="3">
                  <c:v>0.33333333333333331</c:v>
                </c:pt>
                <c:pt idx="4">
                  <c:v>0.5</c:v>
                </c:pt>
                <c:pt idx="5">
                  <c:v>0.66666666666666663</c:v>
                </c:pt>
                <c:pt idx="6">
                  <c:v>0.91666666666666663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8</c:v>
                </c:pt>
              </c:numCache>
            </c:numRef>
          </c:xVal>
          <c:yVal>
            <c:numRef>
              <c:f>'Mean Cp_PK'!$BG$45:$BG$55</c:f>
              <c:numCache>
                <c:formatCode>0.0</c:formatCode>
                <c:ptCount val="11"/>
                <c:pt idx="0">
                  <c:v>46.260200000000005</c:v>
                </c:pt>
                <c:pt idx="1">
                  <c:v>39.842600000000004</c:v>
                </c:pt>
                <c:pt idx="2">
                  <c:v>36.901200000000003</c:v>
                </c:pt>
                <c:pt idx="3">
                  <c:v>32.622800000000005</c:v>
                </c:pt>
                <c:pt idx="4">
                  <c:v>26.178460000000005</c:v>
                </c:pt>
                <c:pt idx="5">
                  <c:v>21.47222</c:v>
                </c:pt>
                <c:pt idx="6">
                  <c:v>18.798220000000001</c:v>
                </c:pt>
                <c:pt idx="7">
                  <c:v>13.423480000000001</c:v>
                </c:pt>
                <c:pt idx="8">
                  <c:v>11.17732</c:v>
                </c:pt>
                <c:pt idx="9">
                  <c:v>7.19306</c:v>
                </c:pt>
                <c:pt idx="10">
                  <c:v>4.5992800000000003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2238384"/>
        <c:axId val="534256368"/>
      </c:scatterChart>
      <c:valAx>
        <c:axId val="532238384"/>
        <c:scaling>
          <c:orientation val="minMax"/>
          <c:max val="1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4256368"/>
        <c:crosses val="autoZero"/>
        <c:crossBetween val="midCat"/>
        <c:minorUnit val="0.5"/>
      </c:valAx>
      <c:valAx>
        <c:axId val="534256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Cp ng/ml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2238384"/>
        <c:crosses val="autoZero"/>
        <c:crossBetween val="midCat"/>
        <c:minorUnit val="2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548993875766"/>
          <c:y val="0.23284594634004083"/>
          <c:w val="0.18377843394575677"/>
          <c:h val="0.312502187226596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effectLst/>
              </a:rPr>
              <a:t> human N=11 50mg metoprolol tartrate solution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705336832895889"/>
          <c:y val="0.17171296296296296"/>
          <c:w val="0.77516119860017496"/>
          <c:h val="0.62271617089530473"/>
        </c:manualLayout>
      </c:layout>
      <c:scatterChart>
        <c:scatterStyle val="lineMarker"/>
        <c:varyColors val="0"/>
        <c:ser>
          <c:idx val="2"/>
          <c:order val="0"/>
          <c:tx>
            <c:v>10mg iv Ragadh1980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'Mean Cp_PK'!$BF$45:$BF$55</c:f>
              <c:numCache>
                <c:formatCode>0.00</c:formatCode>
                <c:ptCount val="11"/>
                <c:pt idx="0">
                  <c:v>8.3333333333333329E-2</c:v>
                </c:pt>
                <c:pt idx="1">
                  <c:v>0.16666666666666666</c:v>
                </c:pt>
                <c:pt idx="2">
                  <c:v>0.25</c:v>
                </c:pt>
                <c:pt idx="3">
                  <c:v>0.33333333333333331</c:v>
                </c:pt>
                <c:pt idx="4">
                  <c:v>0.5</c:v>
                </c:pt>
                <c:pt idx="5">
                  <c:v>0.66666666666666663</c:v>
                </c:pt>
                <c:pt idx="6">
                  <c:v>0.91666666666666663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8</c:v>
                </c:pt>
              </c:numCache>
            </c:numRef>
          </c:xVal>
          <c:yVal>
            <c:numRef>
              <c:f>'Mean Cp_PK'!$BG$45:$BG$55</c:f>
              <c:numCache>
                <c:formatCode>0.0</c:formatCode>
                <c:ptCount val="11"/>
                <c:pt idx="0">
                  <c:v>46.260200000000005</c:v>
                </c:pt>
                <c:pt idx="1">
                  <c:v>39.842600000000004</c:v>
                </c:pt>
                <c:pt idx="2">
                  <c:v>36.901200000000003</c:v>
                </c:pt>
                <c:pt idx="3">
                  <c:v>32.622800000000005</c:v>
                </c:pt>
                <c:pt idx="4">
                  <c:v>26.178460000000005</c:v>
                </c:pt>
                <c:pt idx="5">
                  <c:v>21.47222</c:v>
                </c:pt>
                <c:pt idx="6">
                  <c:v>18.798220000000001</c:v>
                </c:pt>
                <c:pt idx="7">
                  <c:v>13.423480000000001</c:v>
                </c:pt>
                <c:pt idx="8">
                  <c:v>11.17732</c:v>
                </c:pt>
                <c:pt idx="9">
                  <c:v>7.19306</c:v>
                </c:pt>
                <c:pt idx="10">
                  <c:v>4.5992800000000003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'Mean Cp_PK'!$B$10</c:f>
              <c:strCache>
                <c:ptCount val="1"/>
                <c:pt idx="0">
                  <c:v>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'Mean Cp_PK'!$B$45:$B$61</c:f>
              <c:numCache>
                <c:formatCode>0.00</c:formatCode>
                <c:ptCount val="17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10</c:v>
                </c:pt>
                <c:pt idx="12">
                  <c:v>12</c:v>
                </c:pt>
                <c:pt idx="13">
                  <c:v>14</c:v>
                </c:pt>
                <c:pt idx="14">
                  <c:v>24</c:v>
                </c:pt>
                <c:pt idx="15">
                  <c:v>28</c:v>
                </c:pt>
                <c:pt idx="16">
                  <c:v>32</c:v>
                </c:pt>
              </c:numCache>
            </c:numRef>
          </c:xVal>
          <c:yVal>
            <c:numRef>
              <c:f>'Mean Cp_PK'!$C$45:$C$61</c:f>
              <c:numCache>
                <c:formatCode>0.0</c:formatCode>
                <c:ptCount val="17"/>
                <c:pt idx="0">
                  <c:v>1.8423860000000001</c:v>
                </c:pt>
                <c:pt idx="1">
                  <c:v>3.5029400000000002</c:v>
                </c:pt>
                <c:pt idx="2">
                  <c:v>7.3802400000000015</c:v>
                </c:pt>
                <c:pt idx="3">
                  <c:v>11.417980000000002</c:v>
                </c:pt>
                <c:pt idx="4">
                  <c:v>18.985400000000002</c:v>
                </c:pt>
                <c:pt idx="5">
                  <c:v>35.296800000000005</c:v>
                </c:pt>
                <c:pt idx="6">
                  <c:v>46.527600000000007</c:v>
                </c:pt>
                <c:pt idx="7">
                  <c:v>49.469000000000008</c:v>
                </c:pt>
                <c:pt idx="8">
                  <c:v>49.469000000000008</c:v>
                </c:pt>
                <c:pt idx="9">
                  <c:v>48.399400000000007</c:v>
                </c:pt>
                <c:pt idx="10">
                  <c:v>39.842600000000004</c:v>
                </c:pt>
                <c:pt idx="11">
                  <c:v>29.681400000000004</c:v>
                </c:pt>
                <c:pt idx="12">
                  <c:v>23.771860000000004</c:v>
                </c:pt>
                <c:pt idx="13">
                  <c:v>16.765980000000003</c:v>
                </c:pt>
                <c:pt idx="14">
                  <c:v>6.2571599999999998</c:v>
                </c:pt>
                <c:pt idx="15">
                  <c:v>4.7864599999999999</c:v>
                </c:pt>
                <c:pt idx="16">
                  <c:v>3.3157600000000005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'Mean Cp_PK'!$F$10</c:f>
              <c:strCache>
                <c:ptCount val="1"/>
                <c:pt idx="0">
                  <c:v>B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'Mean Cp_PK'!$F$45:$F$61</c:f>
              <c:numCache>
                <c:formatCode>0.00</c:formatCode>
                <c:ptCount val="17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10</c:v>
                </c:pt>
                <c:pt idx="12">
                  <c:v>12</c:v>
                </c:pt>
                <c:pt idx="13">
                  <c:v>14</c:v>
                </c:pt>
                <c:pt idx="14">
                  <c:v>24</c:v>
                </c:pt>
                <c:pt idx="15">
                  <c:v>28</c:v>
                </c:pt>
                <c:pt idx="16">
                  <c:v>32</c:v>
                </c:pt>
              </c:numCache>
            </c:numRef>
          </c:xVal>
          <c:yVal>
            <c:numRef>
              <c:f>'Mean Cp_PK'!$G$45:$G$61</c:f>
              <c:numCache>
                <c:formatCode>0.0</c:formatCode>
                <c:ptCount val="17"/>
                <c:pt idx="0">
                  <c:v>1.6578800000000002</c:v>
                </c:pt>
                <c:pt idx="1">
                  <c:v>3.8773000000000004</c:v>
                </c:pt>
                <c:pt idx="2">
                  <c:v>5.5351800000000004</c:v>
                </c:pt>
                <c:pt idx="3">
                  <c:v>7.5406800000000009</c:v>
                </c:pt>
                <c:pt idx="4">
                  <c:v>10.134460000000001</c:v>
                </c:pt>
                <c:pt idx="5">
                  <c:v>14.011760000000001</c:v>
                </c:pt>
                <c:pt idx="6">
                  <c:v>19.707380000000004</c:v>
                </c:pt>
                <c:pt idx="7">
                  <c:v>22.835960000000004</c:v>
                </c:pt>
                <c:pt idx="8">
                  <c:v>25.804100000000002</c:v>
                </c:pt>
                <c:pt idx="9">
                  <c:v>27.274800000000003</c:v>
                </c:pt>
                <c:pt idx="10">
                  <c:v>28.611800000000002</c:v>
                </c:pt>
                <c:pt idx="11">
                  <c:v>31.285800000000002</c:v>
                </c:pt>
                <c:pt idx="12">
                  <c:v>32.622800000000005</c:v>
                </c:pt>
                <c:pt idx="13">
                  <c:v>33.157600000000002</c:v>
                </c:pt>
                <c:pt idx="14">
                  <c:v>14.198940000000002</c:v>
                </c:pt>
                <c:pt idx="15">
                  <c:v>8.6637599999999999</c:v>
                </c:pt>
                <c:pt idx="16">
                  <c:v>4.7864599999999999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'Mean Cp_PK'!$J$10</c:f>
              <c:strCache>
                <c:ptCount val="1"/>
                <c:pt idx="0">
                  <c:v>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'Mean Cp_PK'!$J$45:$J$61</c:f>
              <c:numCache>
                <c:formatCode>0.00</c:formatCode>
                <c:ptCount val="17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10</c:v>
                </c:pt>
                <c:pt idx="12">
                  <c:v>12</c:v>
                </c:pt>
                <c:pt idx="13">
                  <c:v>14</c:v>
                </c:pt>
                <c:pt idx="14">
                  <c:v>24</c:v>
                </c:pt>
                <c:pt idx="15">
                  <c:v>28</c:v>
                </c:pt>
                <c:pt idx="16">
                  <c:v>32</c:v>
                </c:pt>
              </c:numCache>
            </c:numRef>
          </c:xVal>
          <c:yVal>
            <c:numRef>
              <c:f>'Mean Cp_PK'!$K$45:$K$61</c:f>
              <c:numCache>
                <c:formatCode>0.0</c:formatCode>
                <c:ptCount val="17"/>
                <c:pt idx="0">
                  <c:v>1.1043620000000001</c:v>
                </c:pt>
                <c:pt idx="1">
                  <c:v>23.397500000000001</c:v>
                </c:pt>
                <c:pt idx="2">
                  <c:v>41.981800000000007</c:v>
                </c:pt>
                <c:pt idx="3">
                  <c:v>45.992800000000003</c:v>
                </c:pt>
                <c:pt idx="4">
                  <c:v>42.249200000000002</c:v>
                </c:pt>
                <c:pt idx="5">
                  <c:v>36.099000000000004</c:v>
                </c:pt>
                <c:pt idx="6">
                  <c:v>29.948800000000002</c:v>
                </c:pt>
                <c:pt idx="7">
                  <c:v>24.868200000000002</c:v>
                </c:pt>
                <c:pt idx="8">
                  <c:v>31.018400000000003</c:v>
                </c:pt>
                <c:pt idx="9">
                  <c:v>36.901200000000003</c:v>
                </c:pt>
                <c:pt idx="10">
                  <c:v>29.414000000000001</c:v>
                </c:pt>
                <c:pt idx="11">
                  <c:v>22.301160000000003</c:v>
                </c:pt>
                <c:pt idx="12">
                  <c:v>19.333020000000001</c:v>
                </c:pt>
                <c:pt idx="13">
                  <c:v>14.198940000000002</c:v>
                </c:pt>
                <c:pt idx="14">
                  <c:v>4.0644800000000005</c:v>
                </c:pt>
                <c:pt idx="15">
                  <c:v>3.1285799999999999</c:v>
                </c:pt>
                <c:pt idx="16">
                  <c:v>1.4733740000000002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'Mean Cp_PK'!$N$10</c:f>
              <c:strCache>
                <c:ptCount val="1"/>
                <c:pt idx="0">
                  <c:v>D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'Mean Cp_PK'!$N$46:$N$61</c:f>
              <c:numCache>
                <c:formatCode>0.0</c:formatCode>
                <c:ptCount val="16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10</c:v>
                </c:pt>
                <c:pt idx="11">
                  <c:v>12</c:v>
                </c:pt>
                <c:pt idx="12">
                  <c:v>14</c:v>
                </c:pt>
                <c:pt idx="13">
                  <c:v>24</c:v>
                </c:pt>
                <c:pt idx="14">
                  <c:v>28</c:v>
                </c:pt>
                <c:pt idx="15">
                  <c:v>32</c:v>
                </c:pt>
              </c:numCache>
            </c:numRef>
          </c:xVal>
          <c:yVal>
            <c:numRef>
              <c:f>'Mean Cp_PK'!$O$45:$O$61</c:f>
              <c:numCache>
                <c:formatCode>0.0</c:formatCode>
                <c:ptCount val="17"/>
                <c:pt idx="0">
                  <c:v>0</c:v>
                </c:pt>
                <c:pt idx="1">
                  <c:v>49.469000000000008</c:v>
                </c:pt>
                <c:pt idx="2">
                  <c:v>81.022200000000012</c:v>
                </c:pt>
                <c:pt idx="3">
                  <c:v>87.439800000000005</c:v>
                </c:pt>
                <c:pt idx="4">
                  <c:v>85.568000000000012</c:v>
                </c:pt>
                <c:pt idx="5">
                  <c:v>73.535000000000011</c:v>
                </c:pt>
                <c:pt idx="6">
                  <c:v>64.176000000000002</c:v>
                </c:pt>
                <c:pt idx="7">
                  <c:v>54.282200000000003</c:v>
                </c:pt>
                <c:pt idx="8">
                  <c:v>53.212600000000002</c:v>
                </c:pt>
                <c:pt idx="9">
                  <c:v>40.110000000000007</c:v>
                </c:pt>
                <c:pt idx="10">
                  <c:v>33.692400000000006</c:v>
                </c:pt>
                <c:pt idx="11">
                  <c:v>24.146220000000003</c:v>
                </c:pt>
                <c:pt idx="12">
                  <c:v>16.765980000000003</c:v>
                </c:pt>
                <c:pt idx="13">
                  <c:v>14.198940000000002</c:v>
                </c:pt>
                <c:pt idx="14">
                  <c:v>4.2249200000000009</c:v>
                </c:pt>
                <c:pt idx="15">
                  <c:v>2.5804100000000005</c:v>
                </c:pt>
                <c:pt idx="16">
                  <c:v>1.4733740000000002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632520"/>
        <c:axId val="529634872"/>
      </c:scatterChart>
      <c:valAx>
        <c:axId val="529632520"/>
        <c:scaling>
          <c:orientation val="minMax"/>
          <c:max val="32"/>
          <c:min val="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Time 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634872"/>
        <c:crosses val="autoZero"/>
        <c:crossBetween val="midCat"/>
        <c:majorUnit val="2"/>
        <c:minorUnit val="1"/>
      </c:valAx>
      <c:valAx>
        <c:axId val="529634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Cp ng/ml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6325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95548993875766"/>
          <c:y val="0.23284594634004083"/>
          <c:w val="0.21872189043542517"/>
          <c:h val="0.400660457676530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98010669456674"/>
          <c:y val="0.11933802274100848"/>
          <c:w val="0.74241345933490432"/>
          <c:h val="0.70127842136334295"/>
        </c:manualLayout>
      </c:layout>
      <c:scatterChart>
        <c:scatterStyle val="lineMarker"/>
        <c:varyColors val="0"/>
        <c:ser>
          <c:idx val="2"/>
          <c:order val="0"/>
          <c:tx>
            <c:strRef>
              <c:f>'Mean Cp_PK'!$BF$8</c:f>
              <c:strCache>
                <c:ptCount val="1"/>
                <c:pt idx="0">
                  <c:v>Metoprolol iv 10mg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10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'Mean Cp_PK'!$BF$45:$BF$55</c:f>
              <c:numCache>
                <c:formatCode>0.00</c:formatCode>
                <c:ptCount val="11"/>
                <c:pt idx="0">
                  <c:v>8.3333333333333329E-2</c:v>
                </c:pt>
                <c:pt idx="1">
                  <c:v>0.16666666666666666</c:v>
                </c:pt>
                <c:pt idx="2">
                  <c:v>0.25</c:v>
                </c:pt>
                <c:pt idx="3">
                  <c:v>0.33333333333333331</c:v>
                </c:pt>
                <c:pt idx="4">
                  <c:v>0.5</c:v>
                </c:pt>
                <c:pt idx="5">
                  <c:v>0.66666666666666663</c:v>
                </c:pt>
                <c:pt idx="6">
                  <c:v>0.91666666666666663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8</c:v>
                </c:pt>
              </c:numCache>
            </c:numRef>
          </c:xVal>
          <c:yVal>
            <c:numRef>
              <c:f>'Mean Cp_PK'!$BG$45:$BG$55</c:f>
              <c:numCache>
                <c:formatCode>0.0</c:formatCode>
                <c:ptCount val="11"/>
                <c:pt idx="0">
                  <c:v>46.260200000000005</c:v>
                </c:pt>
                <c:pt idx="1">
                  <c:v>39.842600000000004</c:v>
                </c:pt>
                <c:pt idx="2">
                  <c:v>36.901200000000003</c:v>
                </c:pt>
                <c:pt idx="3">
                  <c:v>32.622800000000005</c:v>
                </c:pt>
                <c:pt idx="4">
                  <c:v>26.178460000000005</c:v>
                </c:pt>
                <c:pt idx="5">
                  <c:v>21.47222</c:v>
                </c:pt>
                <c:pt idx="6">
                  <c:v>18.798220000000001</c:v>
                </c:pt>
                <c:pt idx="7">
                  <c:v>13.423480000000001</c:v>
                </c:pt>
                <c:pt idx="8">
                  <c:v>11.17732</c:v>
                </c:pt>
                <c:pt idx="9">
                  <c:v>7.19306</c:v>
                </c:pt>
                <c:pt idx="10">
                  <c:v>4.5992800000000003</c:v>
                </c:pt>
              </c:numCache>
            </c:numRef>
          </c:yVal>
          <c:smooth val="0"/>
        </c:ser>
        <c:ser>
          <c:idx val="0"/>
          <c:order val="1"/>
          <c:tx>
            <c:v>Metoprolol 50mg calc 5*10mg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'Mean Cp_PK'!$BF$60:$BF$70</c:f>
              <c:numCache>
                <c:formatCode>0.00</c:formatCode>
                <c:ptCount val="11"/>
                <c:pt idx="0">
                  <c:v>8.3333333333333329E-2</c:v>
                </c:pt>
                <c:pt idx="1">
                  <c:v>0.16666666666666666</c:v>
                </c:pt>
                <c:pt idx="2">
                  <c:v>0.25</c:v>
                </c:pt>
                <c:pt idx="3">
                  <c:v>0.33333333333333331</c:v>
                </c:pt>
                <c:pt idx="4">
                  <c:v>0.5</c:v>
                </c:pt>
                <c:pt idx="5">
                  <c:v>0.66666666666666663</c:v>
                </c:pt>
                <c:pt idx="6">
                  <c:v>0.91666666666666663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8</c:v>
                </c:pt>
              </c:numCache>
            </c:numRef>
          </c:xVal>
          <c:yVal>
            <c:numRef>
              <c:f>'Mean Cp_PK'!$BG$60:$BG$70</c:f>
              <c:numCache>
                <c:formatCode>0.00</c:formatCode>
                <c:ptCount val="11"/>
                <c:pt idx="0">
                  <c:v>231.30100000000002</c:v>
                </c:pt>
                <c:pt idx="1">
                  <c:v>199.21300000000002</c:v>
                </c:pt>
                <c:pt idx="2">
                  <c:v>184.50600000000003</c:v>
                </c:pt>
                <c:pt idx="3">
                  <c:v>163.11400000000003</c:v>
                </c:pt>
                <c:pt idx="4">
                  <c:v>130.89230000000003</c:v>
                </c:pt>
                <c:pt idx="5">
                  <c:v>107.36109999999999</c:v>
                </c:pt>
                <c:pt idx="6">
                  <c:v>93.991100000000003</c:v>
                </c:pt>
                <c:pt idx="7">
                  <c:v>67.117400000000004</c:v>
                </c:pt>
                <c:pt idx="8">
                  <c:v>55.886600000000001</c:v>
                </c:pt>
                <c:pt idx="9" formatCode="0.0">
                  <c:v>7.19306</c:v>
                </c:pt>
                <c:pt idx="10" formatCode="0.0">
                  <c:v>4.5992800000000003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632128"/>
        <c:axId val="529633304"/>
      </c:scatterChart>
      <c:valAx>
        <c:axId val="529632128"/>
        <c:scaling>
          <c:orientation val="minMax"/>
          <c:max val="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633304"/>
        <c:crosses val="autoZero"/>
        <c:crossBetween val="midCat"/>
        <c:minorUnit val="0.5"/>
      </c:valAx>
      <c:valAx>
        <c:axId val="529633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Cp ng/ml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632128"/>
        <c:crosses val="autoZero"/>
        <c:crossBetween val="midCat"/>
        <c:minorUnit val="2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2441388415346198"/>
          <c:y val="0.16999608013191872"/>
          <c:w val="0.31470658671826379"/>
          <c:h val="0.616811347121123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98010669456674"/>
          <c:y val="0.11933802274100848"/>
          <c:w val="0.74241345933490432"/>
          <c:h val="0.70127842136334295"/>
        </c:manualLayout>
      </c:layout>
      <c:scatterChart>
        <c:scatterStyle val="lineMarker"/>
        <c:varyColors val="0"/>
        <c:ser>
          <c:idx val="2"/>
          <c:order val="0"/>
          <c:tx>
            <c:strRef>
              <c:f>'Mean Cp_PK'!$BF$8</c:f>
              <c:strCache>
                <c:ptCount val="1"/>
                <c:pt idx="0">
                  <c:v>Metoprolol iv 10mg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10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dispRSqr val="0"/>
            <c:dispEq val="0"/>
          </c:trendline>
          <c:xVal>
            <c:numRef>
              <c:f>'Mean Cp_PK'!$BF$45:$BF$55</c:f>
              <c:numCache>
                <c:formatCode>0.00</c:formatCode>
                <c:ptCount val="11"/>
                <c:pt idx="0">
                  <c:v>8.3333333333333329E-2</c:v>
                </c:pt>
                <c:pt idx="1">
                  <c:v>0.16666666666666666</c:v>
                </c:pt>
                <c:pt idx="2">
                  <c:v>0.25</c:v>
                </c:pt>
                <c:pt idx="3">
                  <c:v>0.33333333333333331</c:v>
                </c:pt>
                <c:pt idx="4">
                  <c:v>0.5</c:v>
                </c:pt>
                <c:pt idx="5">
                  <c:v>0.66666666666666663</c:v>
                </c:pt>
                <c:pt idx="6">
                  <c:v>0.91666666666666663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8</c:v>
                </c:pt>
              </c:numCache>
            </c:numRef>
          </c:xVal>
          <c:yVal>
            <c:numRef>
              <c:f>'Mean Cp_PK'!$BG$45:$BG$55</c:f>
              <c:numCache>
                <c:formatCode>0.0</c:formatCode>
                <c:ptCount val="11"/>
                <c:pt idx="0">
                  <c:v>46.260200000000005</c:v>
                </c:pt>
                <c:pt idx="1">
                  <c:v>39.842600000000004</c:v>
                </c:pt>
                <c:pt idx="2">
                  <c:v>36.901200000000003</c:v>
                </c:pt>
                <c:pt idx="3">
                  <c:v>32.622800000000005</c:v>
                </c:pt>
                <c:pt idx="4">
                  <c:v>26.178460000000005</c:v>
                </c:pt>
                <c:pt idx="5">
                  <c:v>21.47222</c:v>
                </c:pt>
                <c:pt idx="6">
                  <c:v>18.798220000000001</c:v>
                </c:pt>
                <c:pt idx="7">
                  <c:v>13.423480000000001</c:v>
                </c:pt>
                <c:pt idx="8">
                  <c:v>11.17732</c:v>
                </c:pt>
                <c:pt idx="9">
                  <c:v>7.19306</c:v>
                </c:pt>
                <c:pt idx="10">
                  <c:v>4.5992800000000003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634088"/>
        <c:axId val="529634480"/>
      </c:scatterChart>
      <c:valAx>
        <c:axId val="529634088"/>
        <c:scaling>
          <c:orientation val="minMax"/>
          <c:max val="8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634480"/>
        <c:crosses val="autoZero"/>
        <c:crossBetween val="midCat"/>
        <c:majorUnit val="1"/>
        <c:minorUnit val="0.5"/>
      </c:valAx>
      <c:valAx>
        <c:axId val="52963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Cp ng/ml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634088"/>
        <c:crosses val="autoZero"/>
        <c:crossBetween val="midCat"/>
        <c:minorUnit val="2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2441388415346198"/>
          <c:y val="0.16999608013191872"/>
          <c:w val="0.4969290904338145"/>
          <c:h val="8.990890688467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98010669456674"/>
          <c:y val="0.11933802274100848"/>
          <c:w val="0.74241345933490432"/>
          <c:h val="0.70127842136334295"/>
        </c:manualLayout>
      </c:layout>
      <c:scatterChart>
        <c:scatterStyle val="lineMarker"/>
        <c:varyColors val="0"/>
        <c:ser>
          <c:idx val="0"/>
          <c:order val="0"/>
          <c:tx>
            <c:v>Metoprolol 50mg calc 5*10mg</c:v>
          </c:tx>
          <c:spPr>
            <a:ln w="44450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10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38100" cap="rnd">
                <a:solidFill>
                  <a:schemeClr val="accent1"/>
                </a:solidFill>
                <a:prstDash val="dash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4396881741536908"/>
                  <c:y val="-0.5197553309484204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2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'Mean Cp_PK'!$BF$60:$BF$70</c:f>
              <c:numCache>
                <c:formatCode>0.00</c:formatCode>
                <c:ptCount val="11"/>
                <c:pt idx="0">
                  <c:v>8.3333333333333329E-2</c:v>
                </c:pt>
                <c:pt idx="1">
                  <c:v>0.16666666666666666</c:v>
                </c:pt>
                <c:pt idx="2">
                  <c:v>0.25</c:v>
                </c:pt>
                <c:pt idx="3">
                  <c:v>0.33333333333333331</c:v>
                </c:pt>
                <c:pt idx="4">
                  <c:v>0.5</c:v>
                </c:pt>
                <c:pt idx="5">
                  <c:v>0.66666666666666663</c:v>
                </c:pt>
                <c:pt idx="6">
                  <c:v>0.91666666666666663</c:v>
                </c:pt>
                <c:pt idx="7">
                  <c:v>2</c:v>
                </c:pt>
                <c:pt idx="8">
                  <c:v>3</c:v>
                </c:pt>
                <c:pt idx="9">
                  <c:v>5</c:v>
                </c:pt>
                <c:pt idx="10">
                  <c:v>8</c:v>
                </c:pt>
              </c:numCache>
            </c:numRef>
          </c:xVal>
          <c:yVal>
            <c:numRef>
              <c:f>'Mean Cp_PK'!$BG$60:$BG$70</c:f>
              <c:numCache>
                <c:formatCode>0.00</c:formatCode>
                <c:ptCount val="11"/>
                <c:pt idx="0">
                  <c:v>231.30100000000002</c:v>
                </c:pt>
                <c:pt idx="1">
                  <c:v>199.21300000000002</c:v>
                </c:pt>
                <c:pt idx="2">
                  <c:v>184.50600000000003</c:v>
                </c:pt>
                <c:pt idx="3">
                  <c:v>163.11400000000003</c:v>
                </c:pt>
                <c:pt idx="4">
                  <c:v>130.89230000000003</c:v>
                </c:pt>
                <c:pt idx="5">
                  <c:v>107.36109999999999</c:v>
                </c:pt>
                <c:pt idx="6">
                  <c:v>93.991100000000003</c:v>
                </c:pt>
                <c:pt idx="7">
                  <c:v>67.117400000000004</c:v>
                </c:pt>
                <c:pt idx="8">
                  <c:v>55.886600000000001</c:v>
                </c:pt>
                <c:pt idx="9" formatCode="0.0">
                  <c:v>7.19306</c:v>
                </c:pt>
                <c:pt idx="10" formatCode="0.0">
                  <c:v>4.5992800000000003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15776"/>
        <c:axId val="97614600"/>
      </c:scatterChart>
      <c:valAx>
        <c:axId val="97615776"/>
        <c:scaling>
          <c:orientation val="minMax"/>
          <c:max val="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614600"/>
        <c:crosses val="autoZero"/>
        <c:crossBetween val="midCat"/>
        <c:minorUnit val="0.5"/>
      </c:valAx>
      <c:valAx>
        <c:axId val="97614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Cp ng/ml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615776"/>
        <c:crosses val="autoZero"/>
        <c:crossBetween val="midCat"/>
        <c:minorUnit val="2.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1271358172003809"/>
          <c:y val="4.167762105866131E-2"/>
          <c:w val="0.31470658671826379"/>
          <c:h val="0.616811347121123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Metoprolol</a:t>
            </a:r>
            <a:r>
              <a:rPr lang="en-US" baseline="0"/>
              <a:t> 50m oral solution human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'Mean Cp_PK'!$CY$44</c:f>
              <c:strCache>
                <c:ptCount val="1"/>
                <c:pt idx="0">
                  <c:v>Cp (ng/mL)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'Mean Cp_PK'!$CX$45:$CX$58</c:f>
              <c:numCache>
                <c:formatCode>0.00</c:formatCode>
                <c:ptCount val="14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  <c:pt idx="10">
                  <c:v>8</c:v>
                </c:pt>
                <c:pt idx="11">
                  <c:v>12</c:v>
                </c:pt>
                <c:pt idx="12">
                  <c:v>18</c:v>
                </c:pt>
                <c:pt idx="13" formatCode="General">
                  <c:v>24</c:v>
                </c:pt>
              </c:numCache>
            </c:numRef>
          </c:xVal>
          <c:yVal>
            <c:numRef>
              <c:f>'Mean Cp_PK'!$CY$45:$CY$58</c:f>
              <c:numCache>
                <c:formatCode>0.00</c:formatCode>
                <c:ptCount val="14"/>
                <c:pt idx="0">
                  <c:v>1.8E-3</c:v>
                </c:pt>
                <c:pt idx="1">
                  <c:v>4.6399999999999997</c:v>
                </c:pt>
                <c:pt idx="2">
                  <c:v>20.9</c:v>
                </c:pt>
                <c:pt idx="3">
                  <c:v>43.7</c:v>
                </c:pt>
                <c:pt idx="4">
                  <c:v>54.5</c:v>
                </c:pt>
                <c:pt idx="5">
                  <c:v>54.5</c:v>
                </c:pt>
                <c:pt idx="6">
                  <c:v>51.4</c:v>
                </c:pt>
                <c:pt idx="7">
                  <c:v>48.9</c:v>
                </c:pt>
                <c:pt idx="8">
                  <c:v>38.799999999999997</c:v>
                </c:pt>
                <c:pt idx="9">
                  <c:v>23.3</c:v>
                </c:pt>
                <c:pt idx="10">
                  <c:v>15.5</c:v>
                </c:pt>
                <c:pt idx="11">
                  <c:v>5.57</c:v>
                </c:pt>
                <c:pt idx="12">
                  <c:v>1.78</c:v>
                </c:pt>
                <c:pt idx="13" formatCode="General">
                  <c:v>1.0900000000000001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16168"/>
        <c:axId val="97617344"/>
      </c:scatterChart>
      <c:valAx>
        <c:axId val="97616168"/>
        <c:scaling>
          <c:orientation val="minMax"/>
          <c:max val="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_Time 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617344"/>
        <c:crosses val="autoZero"/>
        <c:crossBetween val="midCat"/>
        <c:majorUnit val="2"/>
        <c:minorUnit val="1"/>
      </c:valAx>
      <c:valAx>
        <c:axId val="97617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Cp ng/ml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616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Metoprolol 100mg tab human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'Mean Cp_PK'!$BW$44</c:f>
              <c:strCache>
                <c:ptCount val="1"/>
                <c:pt idx="0">
                  <c:v>Cp (ng/mL)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y"/>
            <c:errBarType val="plus"/>
            <c:errValType val="cust"/>
            <c:noEndCap val="0"/>
            <c:plus>
              <c:numRef>
                <c:f>'Mean Cp_PK'!$BY$45:$BY$53</c:f>
                <c:numCache>
                  <c:formatCode>General</c:formatCode>
                  <c:ptCount val="9"/>
                  <c:pt idx="0">
                    <c:v>0</c:v>
                  </c:pt>
                  <c:pt idx="1">
                    <c:v>13.400000000000006</c:v>
                  </c:pt>
                  <c:pt idx="2">
                    <c:v>16</c:v>
                  </c:pt>
                  <c:pt idx="3">
                    <c:v>16</c:v>
                  </c:pt>
                  <c:pt idx="4">
                    <c:v>10</c:v>
                  </c:pt>
                  <c:pt idx="5">
                    <c:v>18</c:v>
                  </c:pt>
                  <c:pt idx="6">
                    <c:v>14</c:v>
                  </c:pt>
                  <c:pt idx="7">
                    <c:v>14.400000000000006</c:v>
                  </c:pt>
                  <c:pt idx="8">
                    <c:v>5.0000000000000036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'Mean Cp_PK'!$BV$45:$BV$53</c:f>
              <c:numCache>
                <c:formatCode>0.00</c:formatCode>
                <c:ptCount val="9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8</c:v>
                </c:pt>
                <c:pt idx="7">
                  <c:v>12</c:v>
                </c:pt>
                <c:pt idx="8">
                  <c:v>18</c:v>
                </c:pt>
              </c:numCache>
            </c:numRef>
          </c:xVal>
          <c:yVal>
            <c:numRef>
              <c:f>'Mean Cp_PK'!$BW$45:$BW$53</c:f>
              <c:numCache>
                <c:formatCode>0.0</c:formatCode>
                <c:ptCount val="9"/>
                <c:pt idx="0" formatCode="General">
                  <c:v>0</c:v>
                </c:pt>
                <c:pt idx="1">
                  <c:v>89.7</c:v>
                </c:pt>
                <c:pt idx="2">
                  <c:v>141</c:v>
                </c:pt>
                <c:pt idx="3">
                  <c:v>167</c:v>
                </c:pt>
                <c:pt idx="4">
                  <c:v>155</c:v>
                </c:pt>
                <c:pt idx="5">
                  <c:v>114</c:v>
                </c:pt>
                <c:pt idx="6">
                  <c:v>82.8</c:v>
                </c:pt>
                <c:pt idx="7">
                  <c:v>41.5</c:v>
                </c:pt>
                <c:pt idx="8">
                  <c:v>13.6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14992"/>
        <c:axId val="97616952"/>
      </c:scatterChart>
      <c:valAx>
        <c:axId val="976149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616952"/>
        <c:crosses val="autoZero"/>
        <c:crossBetween val="midCat"/>
      </c:valAx>
      <c:valAx>
        <c:axId val="97616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Cp ng/ml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6149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flat" cmpd="dbl" algn="ctr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34925" cap="flat" cmpd="dbl" algn="ctr">
        <a:solidFill>
          <a:schemeClr val="phClr">
            <a:lumMod val="75000"/>
            <a:alpha val="70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kern="1200" spc="0" normalizeH="0" baseline="0"/>
  </cs:title>
  <cs:trendline>
    <cs:lnRef idx="0">
      <cs:styleClr val="0"/>
    </cs:lnRef>
    <cs:fillRef idx="0"/>
    <cs:effectRef idx="0"/>
    <cs:fontRef idx="minor">
      <a:schemeClr val="tx1"/>
    </cs:fontRef>
    <cs:spPr>
      <a:ln w="38100" cap="rnd" cmpd="sng" algn="ctr">
        <a:solidFill>
          <a:schemeClr val="phClr">
            <a:lumMod val="75000"/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18" Type="http://schemas.openxmlformats.org/officeDocument/2006/relationships/chart" Target="../charts/chart15.xml"/><Relationship Id="rId26" Type="http://schemas.openxmlformats.org/officeDocument/2006/relationships/chart" Target="../charts/chart23.xml"/><Relationship Id="rId3" Type="http://schemas.openxmlformats.org/officeDocument/2006/relationships/image" Target="../media/image5.png"/><Relationship Id="rId21" Type="http://schemas.openxmlformats.org/officeDocument/2006/relationships/chart" Target="../charts/chart18.xml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17" Type="http://schemas.openxmlformats.org/officeDocument/2006/relationships/chart" Target="../charts/chart14.xml"/><Relationship Id="rId25" Type="http://schemas.openxmlformats.org/officeDocument/2006/relationships/chart" Target="../charts/chart22.xml"/><Relationship Id="rId2" Type="http://schemas.openxmlformats.org/officeDocument/2006/relationships/image" Target="../media/image4.png"/><Relationship Id="rId16" Type="http://schemas.openxmlformats.org/officeDocument/2006/relationships/chart" Target="../charts/chart13.xml"/><Relationship Id="rId20" Type="http://schemas.openxmlformats.org/officeDocument/2006/relationships/chart" Target="../charts/chart17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24" Type="http://schemas.openxmlformats.org/officeDocument/2006/relationships/chart" Target="../charts/chart21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23" Type="http://schemas.openxmlformats.org/officeDocument/2006/relationships/chart" Target="../charts/chart20.xml"/><Relationship Id="rId10" Type="http://schemas.openxmlformats.org/officeDocument/2006/relationships/chart" Target="../charts/chart7.xml"/><Relationship Id="rId19" Type="http://schemas.openxmlformats.org/officeDocument/2006/relationships/chart" Target="../charts/chart16.xml"/><Relationship Id="rId4" Type="http://schemas.openxmlformats.org/officeDocument/2006/relationships/image" Target="../media/image6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159028</xdr:rowOff>
    </xdr:from>
    <xdr:to>
      <xdr:col>7</xdr:col>
      <xdr:colOff>504825</xdr:colOff>
      <xdr:row>12</xdr:row>
      <xdr:rowOff>161613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59028"/>
          <a:ext cx="5248275" cy="2174285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17</xdr:row>
      <xdr:rowOff>19050</xdr:rowOff>
    </xdr:from>
    <xdr:to>
      <xdr:col>6</xdr:col>
      <xdr:colOff>586871</xdr:colOff>
      <xdr:row>30</xdr:row>
      <xdr:rowOff>101295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7700" y="3041650"/>
          <a:ext cx="3901571" cy="2393645"/>
        </a:xfrm>
        <a:prstGeom prst="rect">
          <a:avLst/>
        </a:prstGeom>
      </xdr:spPr>
    </xdr:pic>
    <xdr:clientData/>
  </xdr:twoCellAnchor>
  <xdr:twoCellAnchor editAs="oneCell">
    <xdr:from>
      <xdr:col>0</xdr:col>
      <xdr:colOff>6351</xdr:colOff>
      <xdr:row>30</xdr:row>
      <xdr:rowOff>120650</xdr:rowOff>
    </xdr:from>
    <xdr:to>
      <xdr:col>7</xdr:col>
      <xdr:colOff>624315</xdr:colOff>
      <xdr:row>60</xdr:row>
      <xdr:rowOff>53076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51" y="5454650"/>
          <a:ext cx="5240764" cy="5266426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13</xdr:row>
      <xdr:rowOff>19050</xdr:rowOff>
    </xdr:from>
    <xdr:to>
      <xdr:col>7</xdr:col>
      <xdr:colOff>641350</xdr:colOff>
      <xdr:row>16</xdr:row>
      <xdr:rowOff>165100</xdr:rowOff>
    </xdr:to>
    <xdr:sp macro="" textlink="">
      <xdr:nvSpPr>
        <xdr:cNvPr id="2" name="TextBox 1"/>
        <xdr:cNvSpPr txBox="1"/>
      </xdr:nvSpPr>
      <xdr:spPr>
        <a:xfrm>
          <a:off x="50800" y="2330450"/>
          <a:ext cx="5213350" cy="67945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0">
              <a:solidFill>
                <a:srgbClr val="FF0000"/>
              </a:solidFill>
            </a:rPr>
            <a:t>Links</a:t>
          </a:r>
          <a:r>
            <a:rPr lang="en-US" sz="1400" b="0" baseline="0">
              <a:solidFill>
                <a:srgbClr val="FF0000"/>
              </a:solidFill>
            </a:rPr>
            <a:t> to papers </a:t>
          </a:r>
          <a:r>
            <a:rPr lang="en-US" sz="1400" b="1" baseline="0">
              <a:solidFill>
                <a:srgbClr val="FF0000"/>
              </a:solidFill>
            </a:rPr>
            <a:t>ONLY</a:t>
          </a:r>
          <a:r>
            <a:rPr lang="en-US" sz="1400" b="0" baseline="0">
              <a:solidFill>
                <a:srgbClr val="FF0000"/>
              </a:solidFill>
            </a:rPr>
            <a:t> work for open </a:t>
          </a:r>
          <a:r>
            <a:rPr lang="en-US" sz="1400" b="0" u="sng" baseline="0">
              <a:solidFill>
                <a:srgbClr val="FF0000"/>
              </a:solidFill>
            </a:rPr>
            <a:t>access arcticles </a:t>
          </a:r>
          <a:r>
            <a:rPr lang="en-US" sz="1100" baseline="0"/>
            <a:t>==&gt; see last tap Ref</a:t>
          </a:r>
        </a:p>
        <a:p>
          <a:r>
            <a:rPr lang="en-US" sz="1100" baseline="0"/>
            <a:t>Figures containing X-Y graphs are converted to numbers e.g. time- drug plasma concentration profiles indicated by graph2#Fig_xyz</a:t>
          </a:r>
        </a:p>
        <a:p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772026</xdr:colOff>
      <xdr:row>86</xdr:row>
      <xdr:rowOff>30078</xdr:rowOff>
    </xdr:from>
    <xdr:to>
      <xdr:col>16</xdr:col>
      <xdr:colOff>472595</xdr:colOff>
      <xdr:row>117</xdr:row>
      <xdr:rowOff>115369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27</xdr:col>
      <xdr:colOff>55033</xdr:colOff>
      <xdr:row>59</xdr:row>
      <xdr:rowOff>149212</xdr:rowOff>
    </xdr:from>
    <xdr:to>
      <xdr:col>37</xdr:col>
      <xdr:colOff>544227</xdr:colOff>
      <xdr:row>75</xdr:row>
      <xdr:rowOff>165872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15995" y="12226424"/>
          <a:ext cx="8548809" cy="2971852"/>
        </a:xfrm>
        <a:prstGeom prst="rect">
          <a:avLst/>
        </a:prstGeom>
      </xdr:spPr>
    </xdr:pic>
    <xdr:clientData/>
  </xdr:twoCellAnchor>
  <xdr:twoCellAnchor editAs="oneCell">
    <xdr:from>
      <xdr:col>18</xdr:col>
      <xdr:colOff>337032</xdr:colOff>
      <xdr:row>67</xdr:row>
      <xdr:rowOff>146126</xdr:rowOff>
    </xdr:from>
    <xdr:to>
      <xdr:col>25</xdr:col>
      <xdr:colOff>518332</xdr:colOff>
      <xdr:row>95</xdr:row>
      <xdr:rowOff>166888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20494" y="13505549"/>
          <a:ext cx="5823030" cy="5149609"/>
        </a:xfrm>
        <a:prstGeom prst="rect">
          <a:avLst/>
        </a:prstGeom>
      </xdr:spPr>
    </xdr:pic>
    <xdr:clientData/>
  </xdr:twoCellAnchor>
  <xdr:twoCellAnchor editAs="oneCell">
    <xdr:from>
      <xdr:col>19</xdr:col>
      <xdr:colOff>191172</xdr:colOff>
      <xdr:row>42</xdr:row>
      <xdr:rowOff>12354</xdr:rowOff>
    </xdr:from>
    <xdr:to>
      <xdr:col>29</xdr:col>
      <xdr:colOff>169651</xdr:colOff>
      <xdr:row>65</xdr:row>
      <xdr:rowOff>137088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14075833" y="6463975"/>
          <a:ext cx="4447619" cy="8038095"/>
        </a:xfrm>
        <a:prstGeom prst="rect">
          <a:avLst/>
        </a:prstGeom>
      </xdr:spPr>
    </xdr:pic>
    <xdr:clientData/>
  </xdr:twoCellAnchor>
  <xdr:twoCellAnchor>
    <xdr:from>
      <xdr:col>42</xdr:col>
      <xdr:colOff>443276</xdr:colOff>
      <xdr:row>64</xdr:row>
      <xdr:rowOff>118207</xdr:rowOff>
    </xdr:from>
    <xdr:to>
      <xdr:col>50</xdr:col>
      <xdr:colOff>179507</xdr:colOff>
      <xdr:row>79</xdr:row>
      <xdr:rowOff>113811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143527</xdr:colOff>
      <xdr:row>72</xdr:row>
      <xdr:rowOff>75779</xdr:rowOff>
    </xdr:from>
    <xdr:to>
      <xdr:col>63</xdr:col>
      <xdr:colOff>685721</xdr:colOff>
      <xdr:row>98</xdr:row>
      <xdr:rowOff>175980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390767</xdr:colOff>
      <xdr:row>82</xdr:row>
      <xdr:rowOff>134326</xdr:rowOff>
    </xdr:from>
    <xdr:to>
      <xdr:col>8</xdr:col>
      <xdr:colOff>91335</xdr:colOff>
      <xdr:row>114</xdr:row>
      <xdr:rowOff>39143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56</xdr:col>
      <xdr:colOff>247910</xdr:colOff>
      <xdr:row>100</xdr:row>
      <xdr:rowOff>13048</xdr:rowOff>
    </xdr:from>
    <xdr:to>
      <xdr:col>63</xdr:col>
      <xdr:colOff>790104</xdr:colOff>
      <xdr:row>126</xdr:row>
      <xdr:rowOff>113249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66</xdr:col>
      <xdr:colOff>0</xdr:colOff>
      <xdr:row>86</xdr:row>
      <xdr:rowOff>0</xdr:rowOff>
    </xdr:from>
    <xdr:to>
      <xdr:col>73</xdr:col>
      <xdr:colOff>542194</xdr:colOff>
      <xdr:row>112</xdr:row>
      <xdr:rowOff>100201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56</xdr:col>
      <xdr:colOff>195719</xdr:colOff>
      <xdr:row>127</xdr:row>
      <xdr:rowOff>156575</xdr:rowOff>
    </xdr:from>
    <xdr:to>
      <xdr:col>63</xdr:col>
      <xdr:colOff>737913</xdr:colOff>
      <xdr:row>154</xdr:row>
      <xdr:rowOff>74105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98</xdr:col>
      <xdr:colOff>623692</xdr:colOff>
      <xdr:row>60</xdr:row>
      <xdr:rowOff>141963</xdr:rowOff>
    </xdr:from>
    <xdr:to>
      <xdr:col>104</xdr:col>
      <xdr:colOff>341856</xdr:colOff>
      <xdr:row>75</xdr:row>
      <xdr:rowOff>132046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72</xdr:col>
      <xdr:colOff>754171</xdr:colOff>
      <xdr:row>55</xdr:row>
      <xdr:rowOff>141963</xdr:rowOff>
    </xdr:from>
    <xdr:to>
      <xdr:col>78</xdr:col>
      <xdr:colOff>472335</xdr:colOff>
      <xdr:row>70</xdr:row>
      <xdr:rowOff>66806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442257</xdr:colOff>
      <xdr:row>92</xdr:row>
      <xdr:rowOff>63180</xdr:rowOff>
    </xdr:from>
    <xdr:to>
      <xdr:col>16</xdr:col>
      <xdr:colOff>269475</xdr:colOff>
      <xdr:row>108</xdr:row>
      <xdr:rowOff>141468</xdr:rowOff>
    </xdr:to>
    <xdr:cxnSp macro="">
      <xdr:nvCxnSpPr>
        <xdr:cNvPr id="25" name="Straight Connector 24"/>
        <xdr:cNvCxnSpPr/>
      </xdr:nvCxnSpPr>
      <xdr:spPr>
        <a:xfrm>
          <a:off x="8563573" y="18291022"/>
          <a:ext cx="4700007" cy="296586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113</xdr:col>
      <xdr:colOff>0</xdr:colOff>
      <xdr:row>60</xdr:row>
      <xdr:rowOff>0</xdr:rowOff>
    </xdr:from>
    <xdr:to>
      <xdr:col>119</xdr:col>
      <xdr:colOff>422754</xdr:colOff>
      <xdr:row>74</xdr:row>
      <xdr:rowOff>172754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113</xdr:col>
      <xdr:colOff>0</xdr:colOff>
      <xdr:row>76</xdr:row>
      <xdr:rowOff>0</xdr:rowOff>
    </xdr:from>
    <xdr:to>
      <xdr:col>119</xdr:col>
      <xdr:colOff>422754</xdr:colOff>
      <xdr:row>91</xdr:row>
      <xdr:rowOff>3131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136</xdr:col>
      <xdr:colOff>421448</xdr:colOff>
      <xdr:row>61</xdr:row>
      <xdr:rowOff>122388</xdr:rowOff>
    </xdr:from>
    <xdr:to>
      <xdr:col>143</xdr:col>
      <xdr:colOff>152661</xdr:colOff>
      <xdr:row>76</xdr:row>
      <xdr:rowOff>125520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225</xdr:col>
      <xdr:colOff>376237</xdr:colOff>
      <xdr:row>58</xdr:row>
      <xdr:rowOff>57150</xdr:rowOff>
    </xdr:from>
    <xdr:to>
      <xdr:col>231</xdr:col>
      <xdr:colOff>304800</xdr:colOff>
      <xdr:row>73</xdr:row>
      <xdr:rowOff>66675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233</xdr:col>
      <xdr:colOff>0</xdr:colOff>
      <xdr:row>58</xdr:row>
      <xdr:rowOff>0</xdr:rowOff>
    </xdr:from>
    <xdr:to>
      <xdr:col>238</xdr:col>
      <xdr:colOff>614363</xdr:colOff>
      <xdr:row>73</xdr:row>
      <xdr:rowOff>9525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226</xdr:col>
      <xdr:colOff>183473</xdr:colOff>
      <xdr:row>68</xdr:row>
      <xdr:rowOff>113208</xdr:rowOff>
    </xdr:from>
    <xdr:to>
      <xdr:col>231</xdr:col>
      <xdr:colOff>167858</xdr:colOff>
      <xdr:row>68</xdr:row>
      <xdr:rowOff>113208</xdr:rowOff>
    </xdr:to>
    <xdr:cxnSp macro="">
      <xdr:nvCxnSpPr>
        <xdr:cNvPr id="15" name="Straight Connector 14"/>
        <xdr:cNvCxnSpPr/>
      </xdr:nvCxnSpPr>
      <xdr:spPr>
        <a:xfrm>
          <a:off x="168768166" y="14798884"/>
          <a:ext cx="3419631" cy="0"/>
        </a:xfrm>
        <a:prstGeom prst="line">
          <a:avLst/>
        </a:prstGeom>
        <a:ln w="22225">
          <a:solidFill>
            <a:srgbClr val="FF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233</xdr:col>
      <xdr:colOff>503575</xdr:colOff>
      <xdr:row>69</xdr:row>
      <xdr:rowOff>89784</xdr:rowOff>
    </xdr:from>
    <xdr:to>
      <xdr:col>238</xdr:col>
      <xdr:colOff>487960</xdr:colOff>
      <xdr:row>69</xdr:row>
      <xdr:rowOff>89784</xdr:rowOff>
    </xdr:to>
    <xdr:cxnSp macro="">
      <xdr:nvCxnSpPr>
        <xdr:cNvPr id="29" name="Straight Connector 28"/>
        <xdr:cNvCxnSpPr/>
      </xdr:nvCxnSpPr>
      <xdr:spPr>
        <a:xfrm>
          <a:off x="173897612" y="14955030"/>
          <a:ext cx="3419631" cy="0"/>
        </a:xfrm>
        <a:prstGeom prst="line">
          <a:avLst/>
        </a:prstGeom>
        <a:ln w="22225">
          <a:solidFill>
            <a:srgbClr val="FF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261</xdr:col>
      <xdr:colOff>280737</xdr:colOff>
      <xdr:row>56</xdr:row>
      <xdr:rowOff>70184</xdr:rowOff>
    </xdr:from>
    <xdr:to>
      <xdr:col>267</xdr:col>
      <xdr:colOff>213310</xdr:colOff>
      <xdr:row>71</xdr:row>
      <xdr:rowOff>59656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192</xdr:col>
      <xdr:colOff>594895</xdr:colOff>
      <xdr:row>58</xdr:row>
      <xdr:rowOff>80211</xdr:rowOff>
    </xdr:from>
    <xdr:to>
      <xdr:col>198</xdr:col>
      <xdr:colOff>523458</xdr:colOff>
      <xdr:row>73</xdr:row>
      <xdr:rowOff>89736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201</xdr:col>
      <xdr:colOff>561473</xdr:colOff>
      <xdr:row>58</xdr:row>
      <xdr:rowOff>147053</xdr:rowOff>
    </xdr:from>
    <xdr:to>
      <xdr:col>207</xdr:col>
      <xdr:colOff>490036</xdr:colOff>
      <xdr:row>73</xdr:row>
      <xdr:rowOff>156578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209</xdr:col>
      <xdr:colOff>0</xdr:colOff>
      <xdr:row>59</xdr:row>
      <xdr:rowOff>0</xdr:rowOff>
    </xdr:from>
    <xdr:to>
      <xdr:col>214</xdr:col>
      <xdr:colOff>590299</xdr:colOff>
      <xdr:row>74</xdr:row>
      <xdr:rowOff>16210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240</xdr:col>
      <xdr:colOff>0</xdr:colOff>
      <xdr:row>58</xdr:row>
      <xdr:rowOff>0</xdr:rowOff>
    </xdr:from>
    <xdr:to>
      <xdr:col>245</xdr:col>
      <xdr:colOff>614363</xdr:colOff>
      <xdr:row>73</xdr:row>
      <xdr:rowOff>9525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240</xdr:col>
      <xdr:colOff>467895</xdr:colOff>
      <xdr:row>69</xdr:row>
      <xdr:rowOff>53474</xdr:rowOff>
    </xdr:from>
    <xdr:to>
      <xdr:col>245</xdr:col>
      <xdr:colOff>452280</xdr:colOff>
      <xdr:row>69</xdr:row>
      <xdr:rowOff>53474</xdr:rowOff>
    </xdr:to>
    <xdr:cxnSp macro="">
      <xdr:nvCxnSpPr>
        <xdr:cNvPr id="34" name="Straight Connector 33"/>
        <xdr:cNvCxnSpPr/>
      </xdr:nvCxnSpPr>
      <xdr:spPr>
        <a:xfrm>
          <a:off x="175507316" y="14023474"/>
          <a:ext cx="3293069" cy="0"/>
        </a:xfrm>
        <a:prstGeom prst="line">
          <a:avLst/>
        </a:prstGeom>
        <a:ln w="22225">
          <a:solidFill>
            <a:srgbClr val="FF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277</xdr:col>
      <xdr:colOff>145380</xdr:colOff>
      <xdr:row>60</xdr:row>
      <xdr:rowOff>112295</xdr:rowOff>
    </xdr:from>
    <xdr:to>
      <xdr:col>283</xdr:col>
      <xdr:colOff>626644</xdr:colOff>
      <xdr:row>75</xdr:row>
      <xdr:rowOff>138364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276</xdr:col>
      <xdr:colOff>0</xdr:colOff>
      <xdr:row>61</xdr:row>
      <xdr:rowOff>0</xdr:rowOff>
    </xdr:from>
    <xdr:to>
      <xdr:col>281</xdr:col>
      <xdr:colOff>614362</xdr:colOff>
      <xdr:row>76</xdr:row>
      <xdr:rowOff>39604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185</xdr:col>
      <xdr:colOff>0</xdr:colOff>
      <xdr:row>59</xdr:row>
      <xdr:rowOff>0</xdr:rowOff>
    </xdr:from>
    <xdr:to>
      <xdr:col>190</xdr:col>
      <xdr:colOff>610351</xdr:colOff>
      <xdr:row>74</xdr:row>
      <xdr:rowOff>19551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105</xdr:col>
      <xdr:colOff>0</xdr:colOff>
      <xdr:row>58</xdr:row>
      <xdr:rowOff>0</xdr:rowOff>
    </xdr:from>
    <xdr:to>
      <xdr:col>110</xdr:col>
      <xdr:colOff>452833</xdr:colOff>
      <xdr:row>72</xdr:row>
      <xdr:rowOff>152702</xdr:rowOff>
    </xdr:to>
    <xdr:graphicFrame macro="">
      <xdr:nvGraphicFramePr>
        <xdr:cNvPr id="38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230</xdr:col>
      <xdr:colOff>0</xdr:colOff>
      <xdr:row>113</xdr:row>
      <xdr:rowOff>0</xdr:rowOff>
    </xdr:from>
    <xdr:to>
      <xdr:col>235</xdr:col>
      <xdr:colOff>610353</xdr:colOff>
      <xdr:row>128</xdr:row>
      <xdr:rowOff>39603</xdr:rowOff>
    </xdr:to>
    <xdr:graphicFrame macro="">
      <xdr:nvGraphicFramePr>
        <xdr:cNvPr id="39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258775</xdr:colOff>
      <xdr:row>83</xdr:row>
      <xdr:rowOff>50431</xdr:rowOff>
    </xdr:from>
    <xdr:to>
      <xdr:col>31</xdr:col>
      <xdr:colOff>301865</xdr:colOff>
      <xdr:row>104</xdr:row>
      <xdr:rowOff>84857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13299796" y="13313064"/>
          <a:ext cx="3771157" cy="7663090"/>
        </a:xfrm>
        <a:prstGeom prst="rect">
          <a:avLst/>
        </a:prstGeom>
      </xdr:spPr>
    </xdr:pic>
    <xdr:clientData/>
  </xdr:twoCellAnchor>
  <xdr:twoCellAnchor>
    <xdr:from>
      <xdr:col>6</xdr:col>
      <xdr:colOff>261675</xdr:colOff>
      <xdr:row>59</xdr:row>
      <xdr:rowOff>0</xdr:rowOff>
    </xdr:from>
    <xdr:to>
      <xdr:col>17</xdr:col>
      <xdr:colOff>11604</xdr:colOff>
      <xdr:row>90</xdr:row>
      <xdr:rowOff>153381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6</xdr:row>
      <xdr:rowOff>37680</xdr:rowOff>
    </xdr:from>
    <xdr:to>
      <xdr:col>14</xdr:col>
      <xdr:colOff>684526</xdr:colOff>
      <xdr:row>11</xdr:row>
      <xdr:rowOff>75824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39125" y="1133055"/>
          <a:ext cx="3275326" cy="962069"/>
        </a:xfrm>
        <a:prstGeom prst="rect">
          <a:avLst/>
        </a:prstGeom>
      </xdr:spPr>
    </xdr:pic>
    <xdr:clientData/>
  </xdr:twoCellAnchor>
  <xdr:twoCellAnchor>
    <xdr:from>
      <xdr:col>13</xdr:col>
      <xdr:colOff>235613</xdr:colOff>
      <xdr:row>8</xdr:row>
      <xdr:rowOff>31911</xdr:rowOff>
    </xdr:from>
    <xdr:to>
      <xdr:col>14</xdr:col>
      <xdr:colOff>109806</xdr:colOff>
      <xdr:row>9</xdr:row>
      <xdr:rowOff>64371</xdr:rowOff>
    </xdr:to>
    <xdr:sp macro="" textlink="">
      <xdr:nvSpPr>
        <xdr:cNvPr id="3" name="Lightning Bolt 2"/>
        <xdr:cNvSpPr/>
      </xdr:nvSpPr>
      <xdr:spPr>
        <a:xfrm rot="3197295">
          <a:off x="10553017" y="1315957"/>
          <a:ext cx="213435" cy="559993"/>
        </a:xfrm>
        <a:prstGeom prst="lightningBol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14</xdr:col>
      <xdr:colOff>581025</xdr:colOff>
      <xdr:row>4</xdr:row>
      <xdr:rowOff>19050</xdr:rowOff>
    </xdr:from>
    <xdr:to>
      <xdr:col>23</xdr:col>
      <xdr:colOff>485015</xdr:colOff>
      <xdr:row>45</xdr:row>
      <xdr:rowOff>141924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10950" y="752475"/>
          <a:ext cx="6076190" cy="7609524"/>
        </a:xfrm>
        <a:prstGeom prst="rect">
          <a:avLst/>
        </a:prstGeom>
      </xdr:spPr>
    </xdr:pic>
    <xdr:clientData/>
  </xdr:twoCellAnchor>
  <xdr:twoCellAnchor>
    <xdr:from>
      <xdr:col>17</xdr:col>
      <xdr:colOff>581025</xdr:colOff>
      <xdr:row>12</xdr:row>
      <xdr:rowOff>19050</xdr:rowOff>
    </xdr:from>
    <xdr:to>
      <xdr:col>18</xdr:col>
      <xdr:colOff>238125</xdr:colOff>
      <xdr:row>13</xdr:row>
      <xdr:rowOff>142875</xdr:rowOff>
    </xdr:to>
    <xdr:sp macro="" textlink="">
      <xdr:nvSpPr>
        <xdr:cNvPr id="5" name="Rectangle 4"/>
        <xdr:cNvSpPr/>
      </xdr:nvSpPr>
      <xdr:spPr>
        <a:xfrm>
          <a:off x="13468350" y="2219325"/>
          <a:ext cx="342900" cy="304800"/>
        </a:xfrm>
        <a:prstGeom prst="rect">
          <a:avLst/>
        </a:prstGeom>
        <a:solidFill>
          <a:schemeClr val="accent6">
            <a:alpha val="3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21</xdr:col>
      <xdr:colOff>123825</xdr:colOff>
      <xdr:row>19</xdr:row>
      <xdr:rowOff>104775</xdr:rowOff>
    </xdr:from>
    <xdr:to>
      <xdr:col>21</xdr:col>
      <xdr:colOff>466725</xdr:colOff>
      <xdr:row>21</xdr:row>
      <xdr:rowOff>47625</xdr:rowOff>
    </xdr:to>
    <xdr:sp macro="" textlink="">
      <xdr:nvSpPr>
        <xdr:cNvPr id="6" name="Rectangle 5"/>
        <xdr:cNvSpPr/>
      </xdr:nvSpPr>
      <xdr:spPr>
        <a:xfrm>
          <a:off x="15754350" y="3581400"/>
          <a:ext cx="342900" cy="304800"/>
        </a:xfrm>
        <a:prstGeom prst="rect">
          <a:avLst/>
        </a:prstGeom>
        <a:solidFill>
          <a:schemeClr val="accent6">
            <a:alpha val="3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663111</xdr:colOff>
      <xdr:row>38</xdr:row>
      <xdr:rowOff>84548</xdr:rowOff>
    </xdr:from>
    <xdr:to>
      <xdr:col>17</xdr:col>
      <xdr:colOff>320211</xdr:colOff>
      <xdr:row>40</xdr:row>
      <xdr:rowOff>18836</xdr:rowOff>
    </xdr:to>
    <xdr:sp macro="" textlink="">
      <xdr:nvSpPr>
        <xdr:cNvPr id="7" name="Rectangle 6"/>
        <xdr:cNvSpPr/>
      </xdr:nvSpPr>
      <xdr:spPr>
        <a:xfrm>
          <a:off x="12864636" y="7028273"/>
          <a:ext cx="342900" cy="305763"/>
        </a:xfrm>
        <a:prstGeom prst="rect">
          <a:avLst/>
        </a:prstGeom>
        <a:solidFill>
          <a:schemeClr val="accent6">
            <a:alpha val="3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20</xdr:col>
      <xdr:colOff>457200</xdr:colOff>
      <xdr:row>11</xdr:row>
      <xdr:rowOff>142875</xdr:rowOff>
    </xdr:from>
    <xdr:to>
      <xdr:col>21</xdr:col>
      <xdr:colOff>114300</xdr:colOff>
      <xdr:row>13</xdr:row>
      <xdr:rowOff>85725</xdr:rowOff>
    </xdr:to>
    <xdr:sp macro="" textlink="">
      <xdr:nvSpPr>
        <xdr:cNvPr id="8" name="Rectangle 7"/>
        <xdr:cNvSpPr/>
      </xdr:nvSpPr>
      <xdr:spPr>
        <a:xfrm>
          <a:off x="15401925" y="2162175"/>
          <a:ext cx="342900" cy="304800"/>
        </a:xfrm>
        <a:prstGeom prst="rect">
          <a:avLst/>
        </a:prstGeom>
        <a:solidFill>
          <a:schemeClr val="accent6">
            <a:alpha val="3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19</xdr:col>
      <xdr:colOff>533400</xdr:colOff>
      <xdr:row>13</xdr:row>
      <xdr:rowOff>133350</xdr:rowOff>
    </xdr:from>
    <xdr:to>
      <xdr:col>20</xdr:col>
      <xdr:colOff>381000</xdr:colOff>
      <xdr:row>14</xdr:row>
      <xdr:rowOff>171450</xdr:rowOff>
    </xdr:to>
    <xdr:sp macro="" textlink="">
      <xdr:nvSpPr>
        <xdr:cNvPr id="9" name="Rectangle 8"/>
        <xdr:cNvSpPr/>
      </xdr:nvSpPr>
      <xdr:spPr>
        <a:xfrm>
          <a:off x="14792325" y="2514600"/>
          <a:ext cx="533400" cy="219075"/>
        </a:xfrm>
        <a:prstGeom prst="rect">
          <a:avLst/>
        </a:prstGeom>
        <a:solidFill>
          <a:schemeClr val="accent6">
            <a:alpha val="3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17</xdr:col>
      <xdr:colOff>133350</xdr:colOff>
      <xdr:row>44</xdr:row>
      <xdr:rowOff>9525</xdr:rowOff>
    </xdr:from>
    <xdr:to>
      <xdr:col>21</xdr:col>
      <xdr:colOff>352425</xdr:colOff>
      <xdr:row>45</xdr:row>
      <xdr:rowOff>47625</xdr:rowOff>
    </xdr:to>
    <xdr:sp macro="" textlink="">
      <xdr:nvSpPr>
        <xdr:cNvPr id="10" name="TextBox 9"/>
        <xdr:cNvSpPr txBox="1"/>
      </xdr:nvSpPr>
      <xdr:spPr>
        <a:xfrm>
          <a:off x="13020675" y="7486650"/>
          <a:ext cx="2962275" cy="219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Active 5-10 fold</a:t>
          </a:r>
          <a:r>
            <a:rPr lang="en-US" sz="1100" baseline="0"/>
            <a:t> less potent than parent drug</a:t>
          </a:r>
          <a:endParaRPr lang="en-US" sz="1100"/>
        </a:p>
      </xdr:txBody>
    </xdr:sp>
    <xdr:clientData/>
  </xdr:twoCellAnchor>
  <xdr:twoCellAnchor>
    <xdr:from>
      <xdr:col>20</xdr:col>
      <xdr:colOff>333375</xdr:colOff>
      <xdr:row>10</xdr:row>
      <xdr:rowOff>76200</xdr:rowOff>
    </xdr:from>
    <xdr:to>
      <xdr:col>21</xdr:col>
      <xdr:colOff>257175</xdr:colOff>
      <xdr:row>11</xdr:row>
      <xdr:rowOff>95250</xdr:rowOff>
    </xdr:to>
    <xdr:sp macro="" textlink="">
      <xdr:nvSpPr>
        <xdr:cNvPr id="11" name="TextBox 10"/>
        <xdr:cNvSpPr txBox="1"/>
      </xdr:nvSpPr>
      <xdr:spPr>
        <a:xfrm>
          <a:off x="15278100" y="1895475"/>
          <a:ext cx="609600" cy="200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ACMB</a:t>
          </a:r>
        </a:p>
      </xdr:txBody>
    </xdr:sp>
    <xdr:clientData/>
  </xdr:twoCellAnchor>
  <xdr:twoCellAnchor>
    <xdr:from>
      <xdr:col>17</xdr:col>
      <xdr:colOff>371475</xdr:colOff>
      <xdr:row>38</xdr:row>
      <xdr:rowOff>73846</xdr:rowOff>
    </xdr:from>
    <xdr:to>
      <xdr:col>19</xdr:col>
      <xdr:colOff>333375</xdr:colOff>
      <xdr:row>39</xdr:row>
      <xdr:rowOff>140521</xdr:rowOff>
    </xdr:to>
    <xdr:sp macro="" textlink="">
      <xdr:nvSpPr>
        <xdr:cNvPr id="12" name="TextBox 11"/>
        <xdr:cNvSpPr txBox="1"/>
      </xdr:nvSpPr>
      <xdr:spPr>
        <a:xfrm>
          <a:off x="13258800" y="7017571"/>
          <a:ext cx="1333500" cy="24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AHM  CYP2D6</a:t>
          </a:r>
        </a:p>
      </xdr:txBody>
    </xdr:sp>
    <xdr:clientData/>
  </xdr:twoCellAnchor>
  <xdr:twoCellAnchor>
    <xdr:from>
      <xdr:col>8</xdr:col>
      <xdr:colOff>514350</xdr:colOff>
      <xdr:row>1</xdr:row>
      <xdr:rowOff>66674</xdr:rowOff>
    </xdr:from>
    <xdr:to>
      <xdr:col>11</xdr:col>
      <xdr:colOff>666750</xdr:colOff>
      <xdr:row>8</xdr:row>
      <xdr:rowOff>152400</xdr:rowOff>
    </xdr:to>
    <xdr:sp macro="" textlink="">
      <xdr:nvSpPr>
        <xdr:cNvPr id="13" name="TextBox 12"/>
        <xdr:cNvSpPr txBox="1"/>
      </xdr:nvSpPr>
      <xdr:spPr>
        <a:xfrm>
          <a:off x="7229475" y="257174"/>
          <a:ext cx="2209800" cy="13525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/>
            <a:t>CAS 37350-58-6</a:t>
          </a:r>
        </a:p>
        <a:p>
          <a:r>
            <a:rPr lang="en-US"/>
            <a:t>56392-17-7 (Tartrat 2:1)</a:t>
          </a:r>
        </a:p>
        <a:p>
          <a:r>
            <a:rPr lang="en-US"/>
            <a:t>80274-67-5 (Fumarat 2:1)</a:t>
          </a:r>
        </a:p>
        <a:p>
          <a:r>
            <a:rPr lang="en-US"/>
            <a:t>98418-47-4 (Succinat 2:1)</a:t>
          </a:r>
        </a:p>
        <a:p>
          <a:r>
            <a:rPr lang="en-US"/>
            <a:t>MW</a:t>
          </a:r>
          <a:r>
            <a:rPr lang="en-US" baseline="0"/>
            <a:t> Tartrate  150 </a:t>
          </a:r>
          <a:br>
            <a:rPr lang="en-US" baseline="0"/>
          </a:br>
          <a:r>
            <a:rPr lang="en-US" baseline="0"/>
            <a:t>MW succinate 118</a:t>
          </a:r>
          <a:br>
            <a:rPr lang="en-US" baseline="0"/>
          </a:br>
          <a:r>
            <a:rPr lang="en-US" baseline="0"/>
            <a:t>MW fumarate  116</a:t>
          </a:r>
          <a:endParaRPr lang="en-US"/>
        </a:p>
        <a:p>
          <a:endParaRPr lang="en-US" sz="1100"/>
        </a:p>
      </xdr:txBody>
    </xdr:sp>
    <xdr:clientData/>
  </xdr:twoCellAnchor>
  <xdr:twoCellAnchor editAs="oneCell">
    <xdr:from>
      <xdr:col>12</xdr:col>
      <xdr:colOff>647700</xdr:colOff>
      <xdr:row>13</xdr:row>
      <xdr:rowOff>38100</xdr:rowOff>
    </xdr:from>
    <xdr:to>
      <xdr:col>15</xdr:col>
      <xdr:colOff>361950</xdr:colOff>
      <xdr:row>22</xdr:row>
      <xdr:rowOff>161925</xdr:rowOff>
    </xdr:to>
    <xdr:pic>
      <xdr:nvPicPr>
        <xdr:cNvPr id="15" name="Picture 14" descr="http://moldb.wishartlab.com/molecules/DB00715/image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2419350"/>
          <a:ext cx="1771650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193675</xdr:colOff>
      <xdr:row>65</xdr:row>
      <xdr:rowOff>66968</xdr:rowOff>
    </xdr:from>
    <xdr:to>
      <xdr:col>16</xdr:col>
      <xdr:colOff>280899</xdr:colOff>
      <xdr:row>78</xdr:row>
      <xdr:rowOff>24882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80200" y="12039893"/>
          <a:ext cx="7373849" cy="2320114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56</xdr:row>
      <xdr:rowOff>0</xdr:rowOff>
    </xdr:from>
    <xdr:to>
      <xdr:col>14</xdr:col>
      <xdr:colOff>665409</xdr:colOff>
      <xdr:row>64</xdr:row>
      <xdr:rowOff>100851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53225" y="10315575"/>
          <a:ext cx="6066084" cy="15677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1382957</xdr:colOff>
      <xdr:row>113</xdr:row>
      <xdr:rowOff>101111</xdr:rowOff>
    </xdr:from>
    <xdr:to>
      <xdr:col>7</xdr:col>
      <xdr:colOff>362682</xdr:colOff>
      <xdr:row>128</xdr:row>
      <xdr:rowOff>715842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580659</xdr:colOff>
      <xdr:row>45</xdr:row>
      <xdr:rowOff>127366</xdr:rowOff>
    </xdr:from>
    <xdr:to>
      <xdr:col>33</xdr:col>
      <xdr:colOff>536697</xdr:colOff>
      <xdr:row>61</xdr:row>
      <xdr:rowOff>37490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77</xdr:col>
      <xdr:colOff>223471</xdr:colOff>
      <xdr:row>47</xdr:row>
      <xdr:rowOff>11356</xdr:rowOff>
    </xdr:from>
    <xdr:to>
      <xdr:col>83</xdr:col>
      <xdr:colOff>674077</xdr:colOff>
      <xdr:row>61</xdr:row>
      <xdr:rowOff>180975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7</xdr:col>
      <xdr:colOff>371840</xdr:colOff>
      <xdr:row>148</xdr:row>
      <xdr:rowOff>65212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762000</xdr:colOff>
      <xdr:row>25</xdr:row>
      <xdr:rowOff>0</xdr:rowOff>
    </xdr:from>
    <xdr:to>
      <xdr:col>17</xdr:col>
      <xdr:colOff>515332</xdr:colOff>
      <xdr:row>60</xdr:row>
      <xdr:rowOff>105801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75864" y="5178136"/>
          <a:ext cx="5987877" cy="556102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64</xdr:row>
      <xdr:rowOff>0</xdr:rowOff>
    </xdr:from>
    <xdr:to>
      <xdr:col>17</xdr:col>
      <xdr:colOff>201916</xdr:colOff>
      <xdr:row>98</xdr:row>
      <xdr:rowOff>148255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93182" y="11256818"/>
          <a:ext cx="5657143" cy="54476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104775</xdr:rowOff>
    </xdr:from>
    <xdr:to>
      <xdr:col>8</xdr:col>
      <xdr:colOff>161925</xdr:colOff>
      <xdr:row>13</xdr:row>
      <xdr:rowOff>95250</xdr:rowOff>
    </xdr:to>
    <xdr:sp macro="" textlink="">
      <xdr:nvSpPr>
        <xdr:cNvPr id="2" name="TextBox 1"/>
        <xdr:cNvSpPr txBox="1"/>
      </xdr:nvSpPr>
      <xdr:spPr>
        <a:xfrm>
          <a:off x="0" y="1019175"/>
          <a:ext cx="5791200" cy="1457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600" b="1" i="0" u="none" strike="noStrike">
              <a:solidFill>
                <a:srgbClr val="FF0000"/>
              </a:solidFill>
              <a:latin typeface="+mn-lt"/>
              <a:ea typeface="+mn-ea"/>
              <a:cs typeface="+mn-cs"/>
            </a:rPr>
            <a:t>2 types of hyperlinks are used</a:t>
          </a:r>
          <a:r>
            <a:rPr lang="en-US" sz="1600" b="1" i="0" u="none" strike="noStrike" baseline="0">
              <a:solidFill>
                <a:srgbClr val="FF0000"/>
              </a:solidFill>
              <a:latin typeface="+mn-lt"/>
              <a:ea typeface="+mn-ea"/>
              <a:cs typeface="+mn-cs"/>
            </a:rPr>
            <a:t> in this Excel sheet</a:t>
          </a:r>
        </a:p>
        <a:p>
          <a:r>
            <a:rPr lang="en-US" sz="1600" b="0" i="0" u="none" strike="noStrike" baseline="0">
              <a:solidFill>
                <a:srgbClr val="FF0000"/>
              </a:solidFill>
              <a:latin typeface="+mn-lt"/>
              <a:ea typeface="+mn-ea"/>
              <a:cs typeface="+mn-cs"/>
            </a:rPr>
            <a:t>- Hyperlinks to external documents (souce = e.g.study report) </a:t>
          </a:r>
          <a:endParaRPr lang="en-US" sz="1600" b="0" i="1" u="none" strike="noStrike" baseline="0">
            <a:solidFill>
              <a:srgbClr val="FF0000"/>
            </a:solidFill>
            <a:latin typeface="+mn-lt"/>
            <a:ea typeface="+mn-ea"/>
            <a:cs typeface="+mn-cs"/>
          </a:endParaRPr>
        </a:p>
        <a:p>
          <a:r>
            <a:rPr lang="en-US" sz="1600" b="0" i="0" u="none" strike="noStrike" baseline="0">
              <a:solidFill>
                <a:srgbClr val="FF0000"/>
              </a:solidFill>
              <a:latin typeface="+mn-lt"/>
              <a:ea typeface="+mn-ea"/>
              <a:cs typeface="+mn-cs"/>
            </a:rPr>
            <a:t>- Hyperlinks to cells within the workbook</a:t>
          </a:r>
        </a:p>
        <a:p>
          <a:endParaRPr lang="en-US" sz="1600" b="0" i="0" u="none" strike="noStrike" baseline="0">
            <a:solidFill>
              <a:srgbClr val="FF0000"/>
            </a:solidFill>
            <a:latin typeface="+mn-lt"/>
            <a:ea typeface="+mn-ea"/>
            <a:cs typeface="+mn-cs"/>
          </a:endParaRPr>
        </a:p>
        <a:p>
          <a:r>
            <a:rPr lang="en-US" sz="1600" b="0" i="0" u="none" strike="noStrike" baseline="0">
              <a:solidFill>
                <a:srgbClr val="FF0000"/>
              </a:solidFill>
              <a:latin typeface="+mn-lt"/>
              <a:ea typeface="+mn-ea"/>
              <a:cs typeface="+mn-cs"/>
            </a:rPr>
            <a:t>→ </a:t>
          </a:r>
          <a:r>
            <a:rPr lang="en-US" sz="1100" b="0" i="1" baseline="0">
              <a:solidFill>
                <a:srgbClr val="FF0000"/>
              </a:solidFill>
              <a:latin typeface="+mn-lt"/>
              <a:ea typeface="+mn-ea"/>
              <a:cs typeface="+mn-cs"/>
            </a:rPr>
            <a:t>follow the  link above for a comprenshive instruction</a:t>
          </a:r>
          <a:endParaRPr lang="en-US" sz="1600" b="0" i="0" u="none" strike="noStrike" baseline="0">
            <a:solidFill>
              <a:srgbClr val="FF0000"/>
            </a:solidFill>
            <a:latin typeface="+mn-lt"/>
            <a:ea typeface="+mn-ea"/>
            <a:cs typeface="+mn-cs"/>
          </a:endParaRPr>
        </a:p>
        <a:p>
          <a:endParaRPr lang="en-US" sz="1600" b="1" i="0" u="none" strike="noStrike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file:///\\nas-vdd\public\vivo-drug-delivery\numbers4drugs\Excel\data\" TargetMode="Externa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pubchem.ncbi.nlm.nih.gov/summary/summary.cgi?cid=9800288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L16" sqref="L16"/>
    </sheetView>
  </sheetViews>
  <sheetFormatPr defaultRowHeight="14.25" x14ac:dyDescent="0.2"/>
  <sheetData/>
  <sheetProtection sheet="1" objects="1" scenarios="1"/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U23"/>
  <sheetViews>
    <sheetView zoomScale="55" zoomScaleNormal="55" workbookViewId="0">
      <selection activeCell="A23" sqref="A23"/>
    </sheetView>
  </sheetViews>
  <sheetFormatPr defaultColWidth="10.25" defaultRowHeight="12.75" x14ac:dyDescent="0.2"/>
  <cols>
    <col min="1" max="16384" width="10.25" style="70"/>
  </cols>
  <sheetData>
    <row r="1" spans="1:71" ht="27.75" x14ac:dyDescent="0.4">
      <c r="A1" s="69" t="s">
        <v>155</v>
      </c>
      <c r="D1" s="71" t="s">
        <v>156</v>
      </c>
      <c r="K1" s="3" t="s">
        <v>20</v>
      </c>
      <c r="L1"/>
      <c r="BS1"/>
    </row>
    <row r="2" spans="1:71" ht="14.25" x14ac:dyDescent="0.2">
      <c r="A2" s="2" t="s">
        <v>332</v>
      </c>
      <c r="B2" s="2" t="s">
        <v>254</v>
      </c>
      <c r="C2" s="2" t="s">
        <v>157</v>
      </c>
      <c r="D2" s="2" t="s">
        <v>158</v>
      </c>
      <c r="E2" s="2" t="s">
        <v>159</v>
      </c>
      <c r="F2" s="70" t="s">
        <v>160</v>
      </c>
      <c r="G2" s="70" t="s">
        <v>161</v>
      </c>
      <c r="H2" s="70" t="s">
        <v>162</v>
      </c>
      <c r="I2" s="70" t="s">
        <v>163</v>
      </c>
      <c r="J2" s="70" t="s">
        <v>164</v>
      </c>
      <c r="K2"/>
      <c r="L2"/>
      <c r="BS2" s="28"/>
    </row>
    <row r="3" spans="1:71" ht="14.25" x14ac:dyDescent="0.2">
      <c r="A3" s="2" t="s">
        <v>333</v>
      </c>
      <c r="B3" s="2" t="s">
        <v>255</v>
      </c>
      <c r="C3" s="2" t="s">
        <v>165</v>
      </c>
      <c r="D3" s="2" t="s">
        <v>166</v>
      </c>
      <c r="E3" s="2" t="s">
        <v>167</v>
      </c>
      <c r="F3" s="70" t="s">
        <v>168</v>
      </c>
      <c r="G3" s="70" t="s">
        <v>169</v>
      </c>
      <c r="H3" s="70" t="s">
        <v>170</v>
      </c>
      <c r="I3" s="70" t="s">
        <v>171</v>
      </c>
      <c r="J3" s="70" t="s">
        <v>172</v>
      </c>
      <c r="K3" s="58" t="s">
        <v>35</v>
      </c>
      <c r="L3" s="37" t="str">
        <f>HYPERLINK(Path&amp;"file name.abc", "Lukacova2009")</f>
        <v>Lukacova2009</v>
      </c>
      <c r="BS3" s="28"/>
    </row>
    <row r="4" spans="1:71" ht="14.25" x14ac:dyDescent="0.2">
      <c r="A4" s="2" t="s">
        <v>334</v>
      </c>
      <c r="B4" s="2" t="s">
        <v>331</v>
      </c>
      <c r="C4" s="2" t="s">
        <v>173</v>
      </c>
      <c r="D4" s="2" t="s">
        <v>174</v>
      </c>
      <c r="E4" s="2" t="s">
        <v>175</v>
      </c>
      <c r="F4" s="70" t="s">
        <v>176</v>
      </c>
      <c r="G4" s="70" t="s">
        <v>177</v>
      </c>
      <c r="H4" s="70" t="s">
        <v>178</v>
      </c>
      <c r="I4" s="70" t="s">
        <v>179</v>
      </c>
      <c r="J4" s="70" t="s">
        <v>180</v>
      </c>
      <c r="K4" s="59" t="s">
        <v>117</v>
      </c>
      <c r="L4" s="56"/>
      <c r="BS4" s="38"/>
    </row>
    <row r="5" spans="1:71" ht="14.25" x14ac:dyDescent="0.2">
      <c r="A5" s="2" t="s">
        <v>181</v>
      </c>
      <c r="B5" s="2" t="s">
        <v>257</v>
      </c>
      <c r="C5" s="2" t="s">
        <v>182</v>
      </c>
      <c r="D5" s="2" t="s">
        <v>183</v>
      </c>
      <c r="E5" s="2" t="s">
        <v>184</v>
      </c>
      <c r="F5" s="70" t="s">
        <v>185</v>
      </c>
      <c r="G5" s="70" t="s">
        <v>186</v>
      </c>
      <c r="H5" s="70" t="s">
        <v>187</v>
      </c>
      <c r="I5" s="70" t="s">
        <v>188</v>
      </c>
      <c r="J5" s="70" t="s">
        <v>189</v>
      </c>
      <c r="K5" s="58" t="s">
        <v>118</v>
      </c>
      <c r="L5" s="56"/>
      <c r="BS5" s="42"/>
    </row>
    <row r="6" spans="1:71" ht="15" x14ac:dyDescent="0.25">
      <c r="A6" s="2" t="s">
        <v>249</v>
      </c>
      <c r="B6" s="72" t="s">
        <v>190</v>
      </c>
      <c r="C6" s="2" t="s">
        <v>191</v>
      </c>
      <c r="D6" s="2" t="s">
        <v>192</v>
      </c>
      <c r="E6" s="2" t="s">
        <v>193</v>
      </c>
      <c r="F6" s="70" t="s">
        <v>194</v>
      </c>
      <c r="G6" s="70" t="s">
        <v>195</v>
      </c>
      <c r="H6" s="70" t="s">
        <v>196</v>
      </c>
      <c r="I6" s="70" t="s">
        <v>197</v>
      </c>
      <c r="J6" s="70" t="s">
        <v>198</v>
      </c>
      <c r="K6" s="59" t="s">
        <v>119</v>
      </c>
      <c r="L6" s="56"/>
      <c r="BS6" s="40"/>
    </row>
    <row r="7" spans="1:71" ht="14.25" x14ac:dyDescent="0.2">
      <c r="A7" s="2" t="s">
        <v>199</v>
      </c>
      <c r="B7" s="72" t="s">
        <v>200</v>
      </c>
      <c r="C7" s="2" t="s">
        <v>201</v>
      </c>
      <c r="D7" s="2" t="s">
        <v>202</v>
      </c>
      <c r="E7" s="2" t="s">
        <v>203</v>
      </c>
      <c r="F7" s="70" t="s">
        <v>204</v>
      </c>
      <c r="G7" s="70" t="s">
        <v>205</v>
      </c>
      <c r="H7" s="70" t="s">
        <v>206</v>
      </c>
      <c r="I7" s="70" t="s">
        <v>207</v>
      </c>
      <c r="J7" s="70" t="s">
        <v>208</v>
      </c>
      <c r="K7" s="58" t="s">
        <v>120</v>
      </c>
      <c r="L7" s="56"/>
      <c r="BS7" s="39"/>
    </row>
    <row r="8" spans="1:71" ht="14.25" x14ac:dyDescent="0.2">
      <c r="A8" s="2" t="s">
        <v>251</v>
      </c>
      <c r="B8" s="72" t="s">
        <v>209</v>
      </c>
      <c r="C8" s="2" t="s">
        <v>210</v>
      </c>
      <c r="D8" s="2" t="s">
        <v>211</v>
      </c>
      <c r="E8" s="2" t="s">
        <v>212</v>
      </c>
      <c r="F8" s="70" t="s">
        <v>213</v>
      </c>
      <c r="G8" s="70" t="s">
        <v>214</v>
      </c>
      <c r="H8" s="70" t="s">
        <v>215</v>
      </c>
      <c r="I8" s="70" t="s">
        <v>216</v>
      </c>
      <c r="J8" s="70" t="s">
        <v>217</v>
      </c>
      <c r="K8" s="58"/>
      <c r="L8" s="56"/>
      <c r="BS8" s="41"/>
    </row>
    <row r="9" spans="1:71" ht="15" x14ac:dyDescent="0.25">
      <c r="A9" s="2" t="s">
        <v>330</v>
      </c>
      <c r="B9" s="72" t="s">
        <v>218</v>
      </c>
      <c r="C9" s="2" t="s">
        <v>219</v>
      </c>
      <c r="D9" s="2" t="s">
        <v>220</v>
      </c>
      <c r="E9" s="2" t="s">
        <v>221</v>
      </c>
      <c r="F9" s="70" t="s">
        <v>222</v>
      </c>
      <c r="G9" s="70" t="s">
        <v>223</v>
      </c>
      <c r="H9" s="70" t="s">
        <v>224</v>
      </c>
      <c r="I9" s="70" t="s">
        <v>225</v>
      </c>
      <c r="J9" s="70" t="s">
        <v>226</v>
      </c>
      <c r="K9" s="52" t="s">
        <v>11</v>
      </c>
      <c r="L9" s="56"/>
      <c r="BS9" s="42"/>
    </row>
    <row r="10" spans="1:71" ht="15" x14ac:dyDescent="0.25">
      <c r="A10" s="2" t="s">
        <v>227</v>
      </c>
      <c r="B10" s="72" t="s">
        <v>228</v>
      </c>
      <c r="C10" s="2" t="s">
        <v>229</v>
      </c>
      <c r="D10" s="70" t="s">
        <v>230</v>
      </c>
      <c r="E10" s="2" t="s">
        <v>231</v>
      </c>
      <c r="F10" s="70" t="s">
        <v>232</v>
      </c>
      <c r="G10" s="70" t="s">
        <v>233</v>
      </c>
      <c r="H10" s="70" t="s">
        <v>234</v>
      </c>
      <c r="I10" s="70" t="s">
        <v>235</v>
      </c>
      <c r="J10" s="70" t="s">
        <v>236</v>
      </c>
      <c r="K10" s="52" t="s">
        <v>45</v>
      </c>
      <c r="L10" s="56"/>
      <c r="BS10"/>
    </row>
    <row r="11" spans="1:71" ht="15" x14ac:dyDescent="0.25">
      <c r="A11" s="2" t="s">
        <v>253</v>
      </c>
      <c r="B11" s="72" t="s">
        <v>237</v>
      </c>
      <c r="C11" s="2" t="s">
        <v>238</v>
      </c>
      <c r="D11" s="2" t="s">
        <v>239</v>
      </c>
      <c r="E11" s="2" t="s">
        <v>240</v>
      </c>
      <c r="F11" s="70" t="s">
        <v>241</v>
      </c>
      <c r="G11" s="70" t="s">
        <v>242</v>
      </c>
      <c r="H11" s="70" t="s">
        <v>243</v>
      </c>
      <c r="I11" s="70" t="s">
        <v>244</v>
      </c>
      <c r="J11" s="70" t="s">
        <v>245</v>
      </c>
      <c r="K11" s="48" t="s">
        <v>0</v>
      </c>
      <c r="L11" s="56"/>
      <c r="BS11" s="75"/>
    </row>
    <row r="12" spans="1:71" ht="15" x14ac:dyDescent="0.25">
      <c r="K12" s="13" t="s">
        <v>10</v>
      </c>
      <c r="L12" s="56"/>
      <c r="BS12" s="33"/>
    </row>
    <row r="13" spans="1:71" ht="30" x14ac:dyDescent="0.25">
      <c r="K13" s="13" t="s">
        <v>9</v>
      </c>
      <c r="L13" s="56"/>
      <c r="BS13" s="33"/>
    </row>
    <row r="14" spans="1:71" ht="15" x14ac:dyDescent="0.25">
      <c r="K14" s="13" t="s">
        <v>25</v>
      </c>
      <c r="L14" s="56"/>
      <c r="BS14" s="33"/>
    </row>
    <row r="15" spans="1:71" ht="20.25" x14ac:dyDescent="0.3">
      <c r="K15" s="48" t="s">
        <v>2</v>
      </c>
      <c r="L15" s="56"/>
      <c r="V15" s="73"/>
      <c r="BS15" s="33"/>
    </row>
    <row r="16" spans="1:71" ht="30" x14ac:dyDescent="0.25">
      <c r="K16" s="13" t="s">
        <v>26</v>
      </c>
      <c r="L16" s="56"/>
    </row>
    <row r="17" spans="1:801" ht="15" x14ac:dyDescent="0.25">
      <c r="K17" s="48" t="s">
        <v>14</v>
      </c>
      <c r="L17" s="56"/>
    </row>
    <row r="18" spans="1:801" ht="15" x14ac:dyDescent="0.25">
      <c r="K18" s="52" t="s">
        <v>6</v>
      </c>
      <c r="L18" s="56"/>
    </row>
    <row r="19" spans="1:801" ht="15" x14ac:dyDescent="0.25">
      <c r="K19" s="52" t="s">
        <v>4</v>
      </c>
      <c r="L19"/>
    </row>
    <row r="20" spans="1:801" ht="15" x14ac:dyDescent="0.25">
      <c r="K20" s="52" t="s">
        <v>27</v>
      </c>
      <c r="L20"/>
    </row>
    <row r="21" spans="1:801" ht="15" x14ac:dyDescent="0.25">
      <c r="K21" s="40" t="s">
        <v>12</v>
      </c>
      <c r="L21"/>
    </row>
    <row r="22" spans="1:801" ht="15" x14ac:dyDescent="0.25">
      <c r="K22" s="52"/>
      <c r="L22"/>
      <c r="AO22" s="76"/>
    </row>
    <row r="23" spans="1:801" ht="14.25" x14ac:dyDescent="0.2">
      <c r="A23" s="70" t="s">
        <v>246</v>
      </c>
      <c r="K23" s="56" t="s">
        <v>125</v>
      </c>
      <c r="L23"/>
      <c r="U23" s="70" t="s">
        <v>247</v>
      </c>
      <c r="AE23" s="70" t="s">
        <v>248</v>
      </c>
      <c r="AO23" s="70" t="s">
        <v>249</v>
      </c>
      <c r="AY23" s="70" t="s">
        <v>250</v>
      </c>
      <c r="BI23" s="70" t="s">
        <v>251</v>
      </c>
      <c r="BS23" s="70" t="s">
        <v>272</v>
      </c>
      <c r="CC23" s="70" t="s">
        <v>252</v>
      </c>
      <c r="CM23" s="70" t="s">
        <v>253</v>
      </c>
      <c r="CW23" s="70" t="s">
        <v>254</v>
      </c>
      <c r="DG23" s="70" t="s">
        <v>255</v>
      </c>
      <c r="DQ23" s="70" t="s">
        <v>256</v>
      </c>
      <c r="EA23" s="70" t="s">
        <v>257</v>
      </c>
      <c r="EK23" s="70" t="s">
        <v>258</v>
      </c>
      <c r="EU23" s="70" t="s">
        <v>259</v>
      </c>
      <c r="FE23" s="70" t="s">
        <v>260</v>
      </c>
      <c r="FO23" s="70" t="s">
        <v>261</v>
      </c>
      <c r="FY23" s="70" t="s">
        <v>262</v>
      </c>
      <c r="GI23" s="70" t="s">
        <v>263</v>
      </c>
      <c r="GS23" s="70" t="s">
        <v>264</v>
      </c>
      <c r="HC23" s="70" t="s">
        <v>265</v>
      </c>
      <c r="HM23" s="70" t="s">
        <v>266</v>
      </c>
      <c r="HW23" s="70" t="s">
        <v>267</v>
      </c>
      <c r="IG23" s="70" t="s">
        <v>268</v>
      </c>
      <c r="IQ23" s="70" t="s">
        <v>273</v>
      </c>
      <c r="JA23" s="70" t="s">
        <v>274</v>
      </c>
      <c r="JK23" s="70" t="s">
        <v>275</v>
      </c>
      <c r="JU23" s="70" t="s">
        <v>276</v>
      </c>
      <c r="KE23" s="70" t="s">
        <v>277</v>
      </c>
      <c r="KO23" s="70" t="s">
        <v>278</v>
      </c>
      <c r="KY23" s="70" t="s">
        <v>279</v>
      </c>
      <c r="LI23" s="70" t="s">
        <v>280</v>
      </c>
      <c r="LS23" s="70" t="s">
        <v>281</v>
      </c>
      <c r="MC23" s="70" t="s">
        <v>282</v>
      </c>
      <c r="MM23" s="70" t="s">
        <v>283</v>
      </c>
      <c r="MW23" s="70" t="s">
        <v>284</v>
      </c>
      <c r="NG23" s="70" t="s">
        <v>285</v>
      </c>
      <c r="NQ23" s="70" t="s">
        <v>286</v>
      </c>
      <c r="OA23" s="70" t="s">
        <v>287</v>
      </c>
      <c r="OK23" s="70" t="s">
        <v>288</v>
      </c>
      <c r="OU23" s="70" t="s">
        <v>289</v>
      </c>
      <c r="PE23" s="70" t="s">
        <v>290</v>
      </c>
      <c r="PO23" s="70" t="s">
        <v>291</v>
      </c>
      <c r="PY23" s="70" t="s">
        <v>292</v>
      </c>
      <c r="QI23" s="70" t="s">
        <v>293</v>
      </c>
      <c r="QS23" s="70" t="s">
        <v>294</v>
      </c>
      <c r="RC23" s="70" t="s">
        <v>295</v>
      </c>
      <c r="RM23" s="70" t="s">
        <v>296</v>
      </c>
      <c r="RW23" s="70" t="s">
        <v>297</v>
      </c>
      <c r="SG23" s="70" t="s">
        <v>298</v>
      </c>
      <c r="SQ23" s="70" t="s">
        <v>299</v>
      </c>
      <c r="TA23" s="70" t="s">
        <v>300</v>
      </c>
      <c r="TK23" s="70" t="s">
        <v>301</v>
      </c>
      <c r="TU23" s="70" t="s">
        <v>302</v>
      </c>
      <c r="UE23" s="70" t="s">
        <v>303</v>
      </c>
      <c r="UO23" s="70" t="s">
        <v>304</v>
      </c>
      <c r="UY23" s="70" t="s">
        <v>305</v>
      </c>
      <c r="VI23" s="70" t="s">
        <v>306</v>
      </c>
      <c r="VS23" s="70" t="s">
        <v>307</v>
      </c>
      <c r="WC23" s="70" t="s">
        <v>308</v>
      </c>
      <c r="WM23" s="70" t="s">
        <v>309</v>
      </c>
      <c r="WW23" s="70" t="s">
        <v>310</v>
      </c>
      <c r="XG23" s="70" t="s">
        <v>311</v>
      </c>
      <c r="XQ23" s="70" t="s">
        <v>312</v>
      </c>
      <c r="YA23" s="70" t="s">
        <v>313</v>
      </c>
      <c r="YK23" s="70" t="s">
        <v>314</v>
      </c>
      <c r="YU23" s="70" t="s">
        <v>315</v>
      </c>
      <c r="ZE23" s="70" t="s">
        <v>316</v>
      </c>
      <c r="ZO23" s="70" t="s">
        <v>317</v>
      </c>
      <c r="ZY23" s="70" t="s">
        <v>318</v>
      </c>
      <c r="AAI23" s="70" t="s">
        <v>319</v>
      </c>
      <c r="AAS23" s="70" t="s">
        <v>320</v>
      </c>
      <c r="ABC23" s="70" t="s">
        <v>321</v>
      </c>
      <c r="ABM23" s="70" t="s">
        <v>322</v>
      </c>
      <c r="ABW23" s="70" t="s">
        <v>323</v>
      </c>
      <c r="ACG23" s="70" t="s">
        <v>324</v>
      </c>
      <c r="ACQ23" s="70" t="s">
        <v>325</v>
      </c>
      <c r="ADA23" s="70" t="s">
        <v>326</v>
      </c>
      <c r="ADK23" s="70" t="s">
        <v>327</v>
      </c>
      <c r="ADU23" s="70" t="s">
        <v>328</v>
      </c>
    </row>
  </sheetData>
  <hyperlinks>
    <hyperlink ref="A2" location="'G-plus-results'!Sim_001" display="Sim01"/>
    <hyperlink ref="A3" location="'G-plus-results'!SIM_002" display="Sim02"/>
    <hyperlink ref="B2" location="'G-plus-results'!SIM_011" display="Sim11"/>
    <hyperlink ref="B3" location="'G-plus-results'!SIM_012" display="Sim12"/>
    <hyperlink ref="B4" location="'G-plus-results'!SIM_013" display="sim13"/>
    <hyperlink ref="B5" location="'G-plus-results'!SIM_014" display="Sim14"/>
    <hyperlink ref="B6" location="SIM_015" display="Simulation15"/>
    <hyperlink ref="B7" location="SIM_016" display="Simulation16"/>
    <hyperlink ref="B8" location="SIM_017" display="Simulation17"/>
    <hyperlink ref="B9" location="SIM_018" display="Simulation18"/>
    <hyperlink ref="B10" location="SIM_019" display="Simulation19"/>
    <hyperlink ref="B11" location="SIM_020" display="Simulation20"/>
    <hyperlink ref="A4" location="'G-plus-results'!SIM_003" display="Sim03"/>
    <hyperlink ref="A5" location="SIM_004" display="Simulation4"/>
    <hyperlink ref="A6" location="'G-plus-results'!SIM_005" display="Sim5"/>
    <hyperlink ref="A7" location="SIM_006" display="Simulation6"/>
    <hyperlink ref="A8" location="'G-plus-results'!SIM_007" display="Sim7"/>
    <hyperlink ref="A10" location="SIM_009" display="Simulation9"/>
    <hyperlink ref="A11" location="'G-plus-results'!SIM_010" display="Sim10"/>
    <hyperlink ref="C2" location="SIM_021" display="Simulation21"/>
    <hyperlink ref="C3" location="SIM_022" display="Simulation22"/>
    <hyperlink ref="C4" location="SIM_023" display="Simulation23"/>
    <hyperlink ref="C5" location="SIM_024" display="Simulation24"/>
    <hyperlink ref="C6" location="SIM_025" display="Simulation25"/>
    <hyperlink ref="A9" location="SIM_008" display="Sim8"/>
    <hyperlink ref="C7" location="SIM_026" display="Simulation26"/>
    <hyperlink ref="C8" location="SIM_027" display="Simulation27"/>
    <hyperlink ref="C9" location="SIM_028" display="Simulation28"/>
    <hyperlink ref="C10" location="SIM_029" display="Simulation29"/>
    <hyperlink ref="C11" location="SIM_030" display="Simulation30"/>
    <hyperlink ref="D2" location="SIM_031" display="Simulation31"/>
    <hyperlink ref="D3" location="SIM_032" display="Simulation32"/>
    <hyperlink ref="D4" location="SIM_033" display="Simulation33"/>
    <hyperlink ref="D5" location="SIM_034" display="Simulation34"/>
    <hyperlink ref="D6" location="SIM_035" display="Simulation35"/>
    <hyperlink ref="D7" location="SIM_036" display="Simulation36"/>
    <hyperlink ref="D8" location="SIM_037" display="Simulation37"/>
    <hyperlink ref="D9" location="SIM_038" display="Simulation38"/>
    <hyperlink ref="D11" location="SIM_040" display="Simulation40"/>
    <hyperlink ref="E2" location="SIM_041" display="Simulation41"/>
    <hyperlink ref="E3" location="SIM_042" display="Simulation42"/>
    <hyperlink ref="E4" location="SIM_043" display="Simulation43"/>
    <hyperlink ref="E5" location="SIM_044" display="Simulation44"/>
    <hyperlink ref="E6" location="SIM_045" display="Simulation45"/>
    <hyperlink ref="E7" location="SIM_046" display="Simulation46"/>
    <hyperlink ref="E8" location="SIM_047" display="Simulation47"/>
    <hyperlink ref="E9" location="SIM_048" display="Simulation48"/>
    <hyperlink ref="E10" location="SIM_049" display="Simulation49"/>
    <hyperlink ref="E11" location="SIM_050" display="Simulation50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/>
  </sheetViews>
  <sheetFormatPr defaultRowHeight="14.25" x14ac:dyDescent="0.2"/>
  <sheetData>
    <row r="1" spans="1:2" ht="15" x14ac:dyDescent="0.25">
      <c r="A1" s="3"/>
    </row>
    <row r="2" spans="1:2" x14ac:dyDescent="0.2">
      <c r="B2" s="2"/>
    </row>
    <row r="4" spans="1:2" ht="15" x14ac:dyDescent="0.25">
      <c r="A4" s="1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activeCell="E17" sqref="E17"/>
    </sheetView>
  </sheetViews>
  <sheetFormatPr defaultRowHeight="14.25" x14ac:dyDescent="0.2"/>
  <cols>
    <col min="1" max="1" width="10.875" customWidth="1"/>
  </cols>
  <sheetData>
    <row r="1" spans="1:9" x14ac:dyDescent="0.2">
      <c r="A1" s="61"/>
      <c r="B1" s="60"/>
      <c r="C1" s="60"/>
      <c r="D1" s="60"/>
      <c r="E1" s="60"/>
      <c r="F1" s="61"/>
      <c r="G1" s="60"/>
      <c r="H1" s="60"/>
      <c r="I1" s="60"/>
    </row>
    <row r="2" spans="1:9" x14ac:dyDescent="0.2">
      <c r="A2" s="66"/>
      <c r="C2" s="60"/>
      <c r="D2" s="60"/>
      <c r="E2" s="60"/>
      <c r="F2" s="60"/>
      <c r="G2" s="60"/>
      <c r="H2" s="60"/>
      <c r="I2" s="60"/>
    </row>
    <row r="3" spans="1:9" x14ac:dyDescent="0.2">
      <c r="A3" s="62"/>
      <c r="B3" s="60"/>
      <c r="C3" s="60"/>
      <c r="D3" s="60"/>
      <c r="E3" s="60"/>
      <c r="F3" s="60"/>
      <c r="G3" s="60"/>
      <c r="H3" s="60"/>
      <c r="I3" s="60"/>
    </row>
    <row r="4" spans="1:9" ht="15" x14ac:dyDescent="0.25">
      <c r="A4" s="1" t="s">
        <v>122</v>
      </c>
      <c r="B4" s="2" t="str">
        <f>HYPERLINK(Path&amp;"Hyperlinks%20Instruction V2.doc", "User manual")</f>
        <v>User manual</v>
      </c>
      <c r="C4" s="60"/>
      <c r="D4" s="60"/>
      <c r="E4" s="60"/>
      <c r="F4" s="60"/>
      <c r="G4" s="60"/>
      <c r="H4" s="60"/>
      <c r="I4" s="60"/>
    </row>
    <row r="5" spans="1:9" x14ac:dyDescent="0.2">
      <c r="A5" s="60"/>
      <c r="B5" s="60"/>
      <c r="C5" s="60"/>
      <c r="D5" s="60"/>
      <c r="E5" s="60"/>
      <c r="F5" s="60"/>
      <c r="G5" s="60"/>
      <c r="H5" s="60"/>
      <c r="I5" s="60"/>
    </row>
    <row r="6" spans="1:9" x14ac:dyDescent="0.2">
      <c r="A6" s="60"/>
      <c r="B6" s="60"/>
      <c r="C6" s="60"/>
      <c r="D6" s="60"/>
      <c r="E6" s="60"/>
      <c r="F6" s="60"/>
      <c r="G6" s="60"/>
      <c r="H6" s="60"/>
      <c r="I6" s="60"/>
    </row>
    <row r="7" spans="1:9" x14ac:dyDescent="0.2">
      <c r="A7" s="60"/>
      <c r="B7" s="60"/>
      <c r="C7" s="60"/>
      <c r="D7" s="60"/>
      <c r="E7" s="60"/>
      <c r="F7" s="60"/>
      <c r="G7" s="60"/>
      <c r="H7" s="60"/>
      <c r="I7" s="60"/>
    </row>
    <row r="8" spans="1:9" ht="15" x14ac:dyDescent="0.25">
      <c r="A8" s="63"/>
      <c r="B8" s="60"/>
      <c r="C8" s="60"/>
      <c r="D8" s="60"/>
      <c r="E8" s="60"/>
      <c r="F8" s="60"/>
      <c r="G8" s="60"/>
      <c r="H8" s="60"/>
      <c r="I8" s="60"/>
    </row>
    <row r="9" spans="1:9" ht="15" x14ac:dyDescent="0.25">
      <c r="A9" s="63"/>
      <c r="B9" s="60"/>
      <c r="C9" s="60"/>
      <c r="D9" s="60"/>
      <c r="E9" s="60"/>
      <c r="F9" s="60"/>
      <c r="G9" s="60"/>
      <c r="H9" s="60"/>
      <c r="I9" s="60"/>
    </row>
    <row r="10" spans="1:9" x14ac:dyDescent="0.2">
      <c r="A10" s="60"/>
      <c r="B10" s="60"/>
      <c r="C10" s="60"/>
      <c r="D10" s="60"/>
      <c r="E10" s="60"/>
      <c r="F10" s="60"/>
      <c r="G10" s="60"/>
      <c r="H10" s="60"/>
      <c r="I10" s="60"/>
    </row>
    <row r="11" spans="1:9" x14ac:dyDescent="0.2">
      <c r="A11" s="60"/>
      <c r="B11" s="60"/>
      <c r="C11" s="60"/>
      <c r="D11" s="60"/>
      <c r="E11" s="60"/>
      <c r="F11" s="60"/>
      <c r="G11" s="60"/>
      <c r="H11" s="60"/>
      <c r="I11" s="60"/>
    </row>
    <row r="12" spans="1:9" x14ac:dyDescent="0.2">
      <c r="A12" s="60"/>
      <c r="B12" s="60"/>
      <c r="C12" s="60"/>
      <c r="D12" s="60"/>
      <c r="E12" s="60"/>
      <c r="F12" s="60"/>
      <c r="G12" s="60"/>
      <c r="H12" s="60"/>
      <c r="I12" s="60"/>
    </row>
    <row r="13" spans="1:9" x14ac:dyDescent="0.2">
      <c r="A13" s="60"/>
      <c r="B13" s="60"/>
      <c r="C13" s="60"/>
      <c r="D13" s="60"/>
      <c r="E13" s="60"/>
      <c r="F13" s="60"/>
      <c r="G13" s="60"/>
      <c r="H13" s="60"/>
      <c r="I13" s="60"/>
    </row>
    <row r="14" spans="1:9" x14ac:dyDescent="0.2">
      <c r="A14" s="60"/>
      <c r="B14" s="60"/>
      <c r="C14" s="60"/>
      <c r="D14" s="60"/>
      <c r="E14" s="60"/>
      <c r="F14" s="60"/>
      <c r="G14" s="60"/>
      <c r="H14" s="60"/>
      <c r="I14" s="60"/>
    </row>
    <row r="15" spans="1:9" x14ac:dyDescent="0.2">
      <c r="A15" s="60"/>
      <c r="B15" s="60"/>
      <c r="C15" s="60"/>
      <c r="D15" s="60"/>
      <c r="E15" s="60"/>
      <c r="F15" s="60"/>
      <c r="G15" s="60"/>
      <c r="H15" s="60"/>
      <c r="I15" s="60"/>
    </row>
    <row r="16" spans="1:9" x14ac:dyDescent="0.2">
      <c r="A16" s="60"/>
      <c r="B16" s="60"/>
      <c r="C16" s="60"/>
      <c r="D16" s="60"/>
      <c r="E16" s="60"/>
      <c r="F16" s="60"/>
      <c r="G16" s="60"/>
      <c r="H16" s="60"/>
      <c r="I16" s="60"/>
    </row>
    <row r="17" spans="1:9" x14ac:dyDescent="0.2">
      <c r="A17" s="60"/>
      <c r="B17" s="60"/>
      <c r="C17" s="60"/>
      <c r="D17" s="60"/>
      <c r="E17" s="60"/>
      <c r="F17" s="60"/>
      <c r="G17" s="60"/>
      <c r="H17" s="60"/>
      <c r="I17" s="60"/>
    </row>
    <row r="18" spans="1:9" x14ac:dyDescent="0.2">
      <c r="A18" s="60"/>
      <c r="B18" s="60"/>
      <c r="C18" s="60"/>
      <c r="D18" s="60"/>
      <c r="E18" s="60"/>
      <c r="F18" s="60"/>
      <c r="G18" s="60"/>
      <c r="H18" s="60"/>
      <c r="I18" s="60"/>
    </row>
    <row r="19" spans="1:9" x14ac:dyDescent="0.2">
      <c r="A19" s="60"/>
      <c r="B19" s="60"/>
      <c r="C19" s="60"/>
      <c r="D19" s="60"/>
      <c r="E19" s="60"/>
      <c r="F19" s="60"/>
      <c r="G19" s="60"/>
      <c r="H19" s="60"/>
      <c r="I19" s="60"/>
    </row>
    <row r="20" spans="1:9" x14ac:dyDescent="0.2">
      <c r="A20" s="60"/>
      <c r="B20" s="60"/>
      <c r="C20" s="60"/>
      <c r="D20" s="60"/>
      <c r="E20" s="60"/>
      <c r="F20" s="60"/>
      <c r="G20" s="60"/>
      <c r="H20" s="60"/>
      <c r="I20" s="60"/>
    </row>
    <row r="21" spans="1:9" x14ac:dyDescent="0.2">
      <c r="A21" s="60"/>
      <c r="B21" s="60"/>
      <c r="C21" s="60"/>
      <c r="D21" s="60"/>
      <c r="E21" s="60"/>
      <c r="F21" s="60"/>
      <c r="G21" s="60"/>
      <c r="H21" s="60"/>
      <c r="I21" s="60"/>
    </row>
    <row r="22" spans="1:9" x14ac:dyDescent="0.2">
      <c r="A22" s="60"/>
      <c r="B22" s="60"/>
      <c r="C22" s="60"/>
      <c r="D22" s="60"/>
      <c r="E22" s="60"/>
      <c r="F22" s="60"/>
      <c r="G22" s="60"/>
      <c r="H22" s="60"/>
      <c r="I22" s="60"/>
    </row>
    <row r="23" spans="1:9" x14ac:dyDescent="0.2">
      <c r="A23" s="60"/>
      <c r="B23" s="60"/>
      <c r="C23" s="60"/>
      <c r="D23" s="60"/>
      <c r="E23" s="60"/>
      <c r="F23" s="60"/>
      <c r="G23" s="60"/>
      <c r="H23" s="60"/>
      <c r="I23" s="60"/>
    </row>
    <row r="24" spans="1:9" x14ac:dyDescent="0.2">
      <c r="A24" s="60"/>
      <c r="B24" s="60"/>
      <c r="C24" s="60"/>
      <c r="D24" s="60"/>
      <c r="E24" s="60"/>
      <c r="F24" s="60"/>
      <c r="G24" s="60"/>
      <c r="H24" s="60"/>
      <c r="I24" s="60"/>
    </row>
    <row r="25" spans="1:9" x14ac:dyDescent="0.2">
      <c r="A25" s="60"/>
      <c r="B25" s="60"/>
      <c r="C25" s="60"/>
      <c r="D25" s="60"/>
      <c r="E25" s="60"/>
      <c r="F25" s="60"/>
      <c r="G25" s="60"/>
      <c r="H25" s="60"/>
      <c r="I25" s="60"/>
    </row>
    <row r="26" spans="1:9" x14ac:dyDescent="0.2">
      <c r="A26" s="60"/>
      <c r="B26" s="60"/>
      <c r="C26" s="60"/>
      <c r="D26" s="60"/>
      <c r="E26" s="60"/>
      <c r="F26" s="60"/>
      <c r="G26" s="60"/>
      <c r="H26" s="60"/>
      <c r="I26" s="60"/>
    </row>
    <row r="27" spans="1:9" x14ac:dyDescent="0.2">
      <c r="A27" s="60"/>
      <c r="B27" s="60"/>
      <c r="C27" s="60"/>
      <c r="D27" s="60"/>
      <c r="E27" s="60"/>
      <c r="F27" s="60"/>
      <c r="G27" s="60"/>
      <c r="H27" s="60"/>
      <c r="I27" s="60"/>
    </row>
    <row r="28" spans="1:9" x14ac:dyDescent="0.2">
      <c r="A28" s="60"/>
      <c r="B28" s="60"/>
      <c r="C28" s="60"/>
      <c r="D28" s="60"/>
      <c r="E28" s="60"/>
      <c r="F28" s="60"/>
      <c r="G28" s="60"/>
      <c r="H28" s="60"/>
      <c r="I28" s="60"/>
    </row>
    <row r="29" spans="1:9" x14ac:dyDescent="0.2">
      <c r="A29" s="60"/>
      <c r="B29" s="60"/>
      <c r="C29" s="60"/>
      <c r="D29" s="60"/>
      <c r="E29" s="60"/>
      <c r="F29" s="60"/>
      <c r="G29" s="60"/>
      <c r="H29" s="60"/>
      <c r="I29" s="60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U20"/>
  <sheetViews>
    <sheetView workbookViewId="0">
      <selection activeCell="F9" sqref="F9"/>
    </sheetView>
  </sheetViews>
  <sheetFormatPr defaultColWidth="9" defaultRowHeight="12" x14ac:dyDescent="0.2"/>
  <cols>
    <col min="1" max="1" width="5" style="203" customWidth="1"/>
    <col min="2" max="3" width="9" style="172"/>
    <col min="4" max="4" width="7.375" style="203" customWidth="1"/>
    <col min="5" max="5" width="11.875" style="172" customWidth="1"/>
    <col min="6" max="6" width="11.25" style="172" customWidth="1"/>
    <col min="7" max="7" width="4.625" style="172" customWidth="1"/>
    <col min="8" max="8" width="12.125" style="172" customWidth="1"/>
    <col min="9" max="9" width="4.5" style="172" customWidth="1"/>
    <col min="10" max="10" width="11" style="172" customWidth="1"/>
    <col min="11" max="11" width="4.875" style="172" customWidth="1"/>
    <col min="12" max="12" width="13.625" style="172" customWidth="1"/>
    <col min="13" max="13" width="5.75" style="172" customWidth="1"/>
    <col min="14" max="15" width="9" style="172"/>
    <col min="16" max="16" width="9.375" style="172" customWidth="1"/>
    <col min="17" max="17" width="6.25" style="172" customWidth="1"/>
    <col min="18" max="18" width="10.625" style="172" customWidth="1"/>
    <col min="19" max="19" width="5.875" style="172" customWidth="1"/>
    <col min="20" max="20" width="10.125" style="172" customWidth="1"/>
    <col min="21" max="21" width="6.5" style="172" customWidth="1"/>
    <col min="22" max="16384" width="9" style="172"/>
  </cols>
  <sheetData>
    <row r="1" spans="1:21" s="201" customFormat="1" ht="24" x14ac:dyDescent="0.2">
      <c r="A1" s="201" t="s">
        <v>602</v>
      </c>
      <c r="B1" s="201" t="s">
        <v>863</v>
      </c>
      <c r="C1" s="201" t="s">
        <v>6</v>
      </c>
      <c r="D1" s="201" t="s">
        <v>607</v>
      </c>
      <c r="E1" s="201" t="s">
        <v>19</v>
      </c>
      <c r="F1" s="202" t="s">
        <v>338</v>
      </c>
      <c r="G1" s="201" t="s">
        <v>353</v>
      </c>
      <c r="H1" s="202" t="s">
        <v>530</v>
      </c>
      <c r="I1" s="201" t="s">
        <v>353</v>
      </c>
      <c r="J1" s="202" t="s">
        <v>603</v>
      </c>
      <c r="K1" s="201" t="s">
        <v>353</v>
      </c>
      <c r="L1" s="202" t="s">
        <v>604</v>
      </c>
      <c r="M1" s="201" t="s">
        <v>353</v>
      </c>
      <c r="N1" s="202" t="s">
        <v>723</v>
      </c>
      <c r="O1" s="201" t="s">
        <v>353</v>
      </c>
      <c r="P1" s="202" t="s">
        <v>724</v>
      </c>
      <c r="Q1" s="201" t="s">
        <v>353</v>
      </c>
      <c r="R1" s="202" t="s">
        <v>864</v>
      </c>
      <c r="S1" s="201" t="s">
        <v>353</v>
      </c>
      <c r="T1" s="202" t="s">
        <v>25</v>
      </c>
      <c r="U1" s="201" t="s">
        <v>353</v>
      </c>
    </row>
    <row r="2" spans="1:21" x14ac:dyDescent="0.2">
      <c r="A2" s="212" t="s">
        <v>409</v>
      </c>
      <c r="B2" s="172" t="s">
        <v>451</v>
      </c>
      <c r="C2" s="172" t="s">
        <v>337</v>
      </c>
      <c r="F2" s="211" t="s">
        <v>428</v>
      </c>
      <c r="G2" s="211">
        <v>10</v>
      </c>
      <c r="H2" s="211" t="s">
        <v>563</v>
      </c>
      <c r="I2" s="211">
        <v>6.75</v>
      </c>
      <c r="J2" s="211" t="s">
        <v>605</v>
      </c>
    </row>
    <row r="3" spans="1:21" x14ac:dyDescent="0.2">
      <c r="A3" s="212" t="s">
        <v>335</v>
      </c>
      <c r="B3" s="211" t="s">
        <v>451</v>
      </c>
      <c r="C3" s="172" t="s">
        <v>337</v>
      </c>
      <c r="D3" s="203" t="s">
        <v>608</v>
      </c>
      <c r="F3" s="213" t="s">
        <v>790</v>
      </c>
      <c r="G3" s="172">
        <v>50</v>
      </c>
      <c r="H3" s="211" t="s">
        <v>563</v>
      </c>
      <c r="I3" s="211">
        <v>27</v>
      </c>
      <c r="J3" s="211" t="s">
        <v>605</v>
      </c>
      <c r="L3" s="213" t="s">
        <v>790</v>
      </c>
      <c r="P3" s="172" t="s">
        <v>538</v>
      </c>
      <c r="R3" s="213" t="s">
        <v>790</v>
      </c>
    </row>
    <row r="4" spans="1:21" x14ac:dyDescent="0.2">
      <c r="F4" s="211" t="s">
        <v>408</v>
      </c>
      <c r="G4" s="172">
        <v>5</v>
      </c>
    </row>
    <row r="5" spans="1:21" x14ac:dyDescent="0.2">
      <c r="D5" s="203" t="s">
        <v>609</v>
      </c>
      <c r="F5" s="172" t="s">
        <v>437</v>
      </c>
      <c r="G5" s="172">
        <v>25</v>
      </c>
      <c r="H5" s="204"/>
      <c r="J5" s="204"/>
    </row>
    <row r="6" spans="1:21" x14ac:dyDescent="0.2">
      <c r="D6" s="203" t="s">
        <v>610</v>
      </c>
      <c r="F6" s="172" t="s">
        <v>437</v>
      </c>
      <c r="G6" s="172">
        <v>25</v>
      </c>
      <c r="H6" s="204"/>
      <c r="J6" s="204"/>
    </row>
    <row r="7" spans="1:21" x14ac:dyDescent="0.2">
      <c r="D7" s="203" t="s">
        <v>611</v>
      </c>
      <c r="F7" s="172" t="s">
        <v>437</v>
      </c>
      <c r="G7" s="172">
        <v>25</v>
      </c>
      <c r="H7" s="172" t="s">
        <v>531</v>
      </c>
      <c r="I7" s="172">
        <v>35</v>
      </c>
      <c r="J7" s="172" t="s">
        <v>524</v>
      </c>
    </row>
    <row r="8" spans="1:21" x14ac:dyDescent="0.2">
      <c r="D8" s="203" t="s">
        <v>608</v>
      </c>
      <c r="E8" s="172" t="s">
        <v>494</v>
      </c>
      <c r="F8" s="172" t="s">
        <v>612</v>
      </c>
      <c r="G8" s="172">
        <v>50</v>
      </c>
      <c r="H8" s="204"/>
      <c r="J8" s="204"/>
      <c r="L8" s="172" t="s">
        <v>612</v>
      </c>
    </row>
    <row r="9" spans="1:21" x14ac:dyDescent="0.2">
      <c r="A9" s="203" t="s">
        <v>335</v>
      </c>
      <c r="B9" s="205" t="s">
        <v>606</v>
      </c>
      <c r="C9" s="172" t="s">
        <v>337</v>
      </c>
      <c r="D9" s="203" t="s">
        <v>608</v>
      </c>
      <c r="F9" s="204"/>
      <c r="H9" s="204"/>
      <c r="J9" s="172" t="s">
        <v>516</v>
      </c>
    </row>
    <row r="10" spans="1:21" x14ac:dyDescent="0.2">
      <c r="A10" s="212" t="s">
        <v>335</v>
      </c>
      <c r="B10" s="211" t="s">
        <v>449</v>
      </c>
      <c r="C10" s="211" t="s">
        <v>337</v>
      </c>
      <c r="D10" s="203" t="s">
        <v>608</v>
      </c>
      <c r="F10" s="211" t="s">
        <v>520</v>
      </c>
      <c r="G10" s="211">
        <v>100</v>
      </c>
      <c r="H10" s="213" t="s">
        <v>590</v>
      </c>
      <c r="I10" s="211"/>
      <c r="J10" s="211" t="s">
        <v>524</v>
      </c>
    </row>
    <row r="11" spans="1:21" x14ac:dyDescent="0.2">
      <c r="C11" s="172" t="s">
        <v>337</v>
      </c>
      <c r="D11" s="203" t="s">
        <v>608</v>
      </c>
      <c r="F11" s="172" t="s">
        <v>615</v>
      </c>
      <c r="G11" s="172">
        <v>100</v>
      </c>
      <c r="L11" s="172" t="s">
        <v>615</v>
      </c>
    </row>
    <row r="12" spans="1:21" x14ac:dyDescent="0.2">
      <c r="B12" s="172" t="s">
        <v>388</v>
      </c>
      <c r="C12" s="172" t="s">
        <v>364</v>
      </c>
      <c r="D12" s="203" t="s">
        <v>608</v>
      </c>
      <c r="F12" s="172" t="s">
        <v>520</v>
      </c>
      <c r="G12" s="172" t="s">
        <v>389</v>
      </c>
      <c r="H12" s="204"/>
      <c r="J12" s="172" t="s">
        <v>476</v>
      </c>
      <c r="N12" s="172" t="s">
        <v>725</v>
      </c>
      <c r="R12" s="213" t="s">
        <v>790</v>
      </c>
    </row>
    <row r="13" spans="1:21" x14ac:dyDescent="0.2">
      <c r="F13" s="172" t="s">
        <v>618</v>
      </c>
      <c r="G13" s="172" t="s">
        <v>387</v>
      </c>
      <c r="H13" s="204"/>
      <c r="T13" s="172" t="s">
        <v>618</v>
      </c>
    </row>
    <row r="14" spans="1:21" x14ac:dyDescent="0.2">
      <c r="B14" s="211" t="s">
        <v>449</v>
      </c>
      <c r="C14" s="211" t="s">
        <v>616</v>
      </c>
      <c r="D14" s="203" t="s">
        <v>608</v>
      </c>
      <c r="F14" s="211" t="s">
        <v>656</v>
      </c>
      <c r="G14" s="172">
        <v>200</v>
      </c>
      <c r="H14" s="211" t="s">
        <v>564</v>
      </c>
      <c r="I14" s="172">
        <v>200</v>
      </c>
      <c r="J14" s="206" t="s">
        <v>476</v>
      </c>
      <c r="L14" s="211" t="s">
        <v>564</v>
      </c>
      <c r="R14" s="172" t="s">
        <v>564</v>
      </c>
    </row>
    <row r="15" spans="1:21" x14ac:dyDescent="0.2">
      <c r="C15" s="172" t="s">
        <v>616</v>
      </c>
      <c r="D15" s="203" t="s">
        <v>608</v>
      </c>
      <c r="H15" s="172" t="s">
        <v>590</v>
      </c>
      <c r="I15" s="172">
        <v>100</v>
      </c>
    </row>
    <row r="16" spans="1:21" x14ac:dyDescent="0.2">
      <c r="B16" s="172" t="s">
        <v>449</v>
      </c>
      <c r="C16" s="172" t="s">
        <v>487</v>
      </c>
      <c r="D16" s="203" t="s">
        <v>608</v>
      </c>
      <c r="E16" s="172" t="s">
        <v>494</v>
      </c>
      <c r="F16" s="172" t="s">
        <v>612</v>
      </c>
      <c r="G16" s="172">
        <v>100</v>
      </c>
      <c r="H16" s="204"/>
      <c r="J16" s="172" t="s">
        <v>476</v>
      </c>
      <c r="L16" s="172" t="s">
        <v>612</v>
      </c>
    </row>
    <row r="17" spans="2:12" x14ac:dyDescent="0.2">
      <c r="C17" s="172" t="s">
        <v>613</v>
      </c>
      <c r="D17" s="203" t="s">
        <v>608</v>
      </c>
      <c r="E17" s="172" t="s">
        <v>494</v>
      </c>
      <c r="F17" s="172" t="s">
        <v>612</v>
      </c>
      <c r="G17" s="172">
        <v>100</v>
      </c>
      <c r="H17" s="204"/>
      <c r="L17" s="172" t="s">
        <v>612</v>
      </c>
    </row>
    <row r="18" spans="2:12" x14ac:dyDescent="0.2">
      <c r="C18" s="172" t="s">
        <v>492</v>
      </c>
      <c r="D18" s="203" t="s">
        <v>608</v>
      </c>
      <c r="E18" s="172" t="s">
        <v>494</v>
      </c>
      <c r="F18" s="172" t="s">
        <v>612</v>
      </c>
      <c r="G18" s="172">
        <v>100</v>
      </c>
      <c r="H18" s="204"/>
      <c r="L18" s="172" t="s">
        <v>612</v>
      </c>
    </row>
    <row r="19" spans="2:12" x14ac:dyDescent="0.2">
      <c r="B19" s="172" t="s">
        <v>596</v>
      </c>
      <c r="C19" s="172" t="s">
        <v>614</v>
      </c>
      <c r="D19" s="203" t="s">
        <v>608</v>
      </c>
      <c r="H19" s="172" t="s">
        <v>590</v>
      </c>
      <c r="I19" s="172">
        <v>100</v>
      </c>
      <c r="J19" s="172" t="s">
        <v>476</v>
      </c>
    </row>
    <row r="20" spans="2:12" x14ac:dyDescent="0.2">
      <c r="C20" s="172" t="s">
        <v>617</v>
      </c>
      <c r="D20" s="203" t="s">
        <v>608</v>
      </c>
      <c r="H20" s="172" t="s">
        <v>590</v>
      </c>
      <c r="I20" s="172">
        <v>100</v>
      </c>
    </row>
  </sheetData>
  <printOptions gridLines="1"/>
  <pageMargins left="0.7" right="0.7" top="0.75" bottom="0.75" header="0.3" footer="0.3"/>
  <pageSetup paperSize="9" scale="66" fitToHeight="0" orientation="landscape" horizontalDpi="200" verticalDpi="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2"/>
  <sheetViews>
    <sheetView topLeftCell="B10" workbookViewId="0">
      <selection activeCell="C34" sqref="C34"/>
    </sheetView>
  </sheetViews>
  <sheetFormatPr defaultRowHeight="12.75" x14ac:dyDescent="0.2"/>
  <cols>
    <col min="1" max="1" width="15" style="306" bestFit="1" customWidth="1"/>
    <col min="2" max="2" width="9" style="306"/>
    <col min="3" max="3" width="14.5" style="306" bestFit="1" customWidth="1"/>
    <col min="4" max="4" width="9" style="310"/>
    <col min="5" max="5" width="125" style="306" customWidth="1"/>
    <col min="6" max="16384" width="9" style="306"/>
  </cols>
  <sheetData>
    <row r="1" spans="1:5" ht="26.25" thickBot="1" x14ac:dyDescent="0.25">
      <c r="A1" s="225" t="s">
        <v>3</v>
      </c>
      <c r="B1" s="225" t="s">
        <v>0</v>
      </c>
      <c r="C1" s="225" t="s">
        <v>1</v>
      </c>
      <c r="D1" s="226" t="s">
        <v>791</v>
      </c>
      <c r="E1" s="228" t="s">
        <v>150</v>
      </c>
    </row>
    <row r="2" spans="1:5" x14ac:dyDescent="0.2">
      <c r="A2" s="227" t="s">
        <v>336</v>
      </c>
      <c r="B2" s="227" t="s">
        <v>338</v>
      </c>
      <c r="C2" s="227" t="s">
        <v>634</v>
      </c>
      <c r="D2" s="229" t="s">
        <v>793</v>
      </c>
      <c r="E2" s="306" t="s">
        <v>795</v>
      </c>
    </row>
    <row r="3" spans="1:5" x14ac:dyDescent="0.2">
      <c r="A3" s="227" t="s">
        <v>336</v>
      </c>
      <c r="B3" s="227" t="s">
        <v>530</v>
      </c>
      <c r="C3" s="227" t="s">
        <v>564</v>
      </c>
      <c r="D3" s="229" t="s">
        <v>793</v>
      </c>
      <c r="E3" s="306" t="s">
        <v>796</v>
      </c>
    </row>
    <row r="4" spans="1:5" x14ac:dyDescent="0.2">
      <c r="A4" s="227" t="s">
        <v>336</v>
      </c>
      <c r="B4" s="227" t="s">
        <v>338</v>
      </c>
      <c r="C4" s="227" t="s">
        <v>448</v>
      </c>
      <c r="D4" s="229" t="s">
        <v>793</v>
      </c>
      <c r="E4" s="306" t="s">
        <v>797</v>
      </c>
    </row>
    <row r="5" spans="1:5" x14ac:dyDescent="0.2">
      <c r="A5" s="227" t="s">
        <v>336</v>
      </c>
      <c r="B5" s="227" t="s">
        <v>530</v>
      </c>
      <c r="C5" s="227" t="s">
        <v>563</v>
      </c>
      <c r="D5" s="229" t="s">
        <v>793</v>
      </c>
      <c r="E5" s="306" t="s">
        <v>794</v>
      </c>
    </row>
    <row r="6" spans="1:5" x14ac:dyDescent="0.2">
      <c r="A6" s="227" t="s">
        <v>336</v>
      </c>
      <c r="B6" s="227" t="s">
        <v>424</v>
      </c>
      <c r="C6" s="227" t="s">
        <v>563</v>
      </c>
      <c r="D6" s="229" t="s">
        <v>793</v>
      </c>
      <c r="E6" s="306" t="s">
        <v>794</v>
      </c>
    </row>
    <row r="7" spans="1:5" x14ac:dyDescent="0.2">
      <c r="A7" s="307" t="s">
        <v>336</v>
      </c>
      <c r="B7" s="307" t="s">
        <v>835</v>
      </c>
      <c r="C7" s="306" t="s">
        <v>360</v>
      </c>
      <c r="D7" s="308" t="s">
        <v>536</v>
      </c>
      <c r="E7" s="306" t="s">
        <v>824</v>
      </c>
    </row>
    <row r="8" spans="1:5" x14ac:dyDescent="0.2">
      <c r="A8" s="227" t="s">
        <v>336</v>
      </c>
      <c r="B8" s="227" t="s">
        <v>424</v>
      </c>
      <c r="C8" s="227" t="s">
        <v>423</v>
      </c>
      <c r="D8" s="230" t="s">
        <v>536</v>
      </c>
      <c r="E8" s="306" t="s">
        <v>798</v>
      </c>
    </row>
    <row r="9" spans="1:5" x14ac:dyDescent="0.2">
      <c r="A9" s="307" t="s">
        <v>336</v>
      </c>
      <c r="B9" s="307" t="s">
        <v>727</v>
      </c>
      <c r="C9" s="309" t="s">
        <v>538</v>
      </c>
      <c r="D9" s="308" t="s">
        <v>536</v>
      </c>
      <c r="E9" s="306" t="s">
        <v>818</v>
      </c>
    </row>
    <row r="10" spans="1:5" x14ac:dyDescent="0.2">
      <c r="A10" s="227" t="s">
        <v>336</v>
      </c>
      <c r="B10" s="227" t="s">
        <v>338</v>
      </c>
      <c r="C10" s="227" t="s">
        <v>480</v>
      </c>
      <c r="D10" s="229" t="s">
        <v>793</v>
      </c>
      <c r="E10" s="306" t="s">
        <v>799</v>
      </c>
    </row>
    <row r="11" spans="1:5" x14ac:dyDescent="0.2">
      <c r="A11" s="307" t="s">
        <v>813</v>
      </c>
      <c r="B11" s="307" t="s">
        <v>338</v>
      </c>
      <c r="C11" s="309" t="s">
        <v>779</v>
      </c>
      <c r="D11" s="310" t="s">
        <v>793</v>
      </c>
      <c r="E11" s="306" t="s">
        <v>819</v>
      </c>
    </row>
    <row r="12" spans="1:5" x14ac:dyDescent="0.2">
      <c r="A12" s="307" t="s">
        <v>336</v>
      </c>
      <c r="B12" s="307" t="s">
        <v>835</v>
      </c>
      <c r="C12" s="306" t="s">
        <v>828</v>
      </c>
      <c r="D12" s="308" t="s">
        <v>536</v>
      </c>
      <c r="E12" s="306" t="s">
        <v>827</v>
      </c>
    </row>
    <row r="13" spans="1:5" x14ac:dyDescent="0.2">
      <c r="A13" s="227" t="s">
        <v>336</v>
      </c>
      <c r="B13" s="227" t="s">
        <v>338</v>
      </c>
      <c r="C13" s="227" t="s">
        <v>386</v>
      </c>
      <c r="D13" s="230" t="s">
        <v>536</v>
      </c>
      <c r="E13" s="306" t="s">
        <v>800</v>
      </c>
    </row>
    <row r="14" spans="1:5" x14ac:dyDescent="0.2">
      <c r="A14" s="227" t="s">
        <v>336</v>
      </c>
      <c r="B14" s="227" t="s">
        <v>338</v>
      </c>
      <c r="C14" s="227" t="s">
        <v>520</v>
      </c>
      <c r="D14" s="230" t="s">
        <v>536</v>
      </c>
      <c r="E14" s="306" t="s">
        <v>801</v>
      </c>
    </row>
    <row r="15" spans="1:5" x14ac:dyDescent="0.2">
      <c r="A15" s="227" t="s">
        <v>336</v>
      </c>
      <c r="B15" s="227" t="s">
        <v>338</v>
      </c>
      <c r="C15" s="227" t="s">
        <v>391</v>
      </c>
      <c r="D15" s="230" t="s">
        <v>536</v>
      </c>
      <c r="E15" s="306" t="s">
        <v>802</v>
      </c>
    </row>
    <row r="16" spans="1:5" x14ac:dyDescent="0.2">
      <c r="A16" s="227" t="s">
        <v>336</v>
      </c>
      <c r="B16" s="227" t="s">
        <v>530</v>
      </c>
      <c r="C16" s="227" t="s">
        <v>531</v>
      </c>
      <c r="D16" s="230" t="s">
        <v>536</v>
      </c>
      <c r="E16" s="306" t="s">
        <v>803</v>
      </c>
    </row>
    <row r="17" spans="1:5" x14ac:dyDescent="0.2">
      <c r="A17" s="307" t="s">
        <v>336</v>
      </c>
      <c r="B17" s="307" t="s">
        <v>835</v>
      </c>
      <c r="C17" s="306" t="s">
        <v>359</v>
      </c>
      <c r="D17" s="310" t="s">
        <v>793</v>
      </c>
      <c r="E17" s="306" t="s">
        <v>825</v>
      </c>
    </row>
    <row r="18" spans="1:5" x14ac:dyDescent="0.2">
      <c r="A18" s="307" t="s">
        <v>336</v>
      </c>
      <c r="B18" s="307" t="s">
        <v>835</v>
      </c>
      <c r="C18" s="306" t="s">
        <v>868</v>
      </c>
      <c r="D18" s="308" t="s">
        <v>536</v>
      </c>
      <c r="E18" s="306" t="s">
        <v>867</v>
      </c>
    </row>
    <row r="19" spans="1:5" x14ac:dyDescent="0.2">
      <c r="A19" s="227" t="s">
        <v>336</v>
      </c>
      <c r="B19" s="227" t="s">
        <v>338</v>
      </c>
      <c r="C19" s="227" t="s">
        <v>618</v>
      </c>
      <c r="D19" s="230" t="s">
        <v>536</v>
      </c>
      <c r="E19" s="306" t="s">
        <v>804</v>
      </c>
    </row>
    <row r="20" spans="1:5" x14ac:dyDescent="0.2">
      <c r="A20" s="307" t="s">
        <v>336</v>
      </c>
      <c r="B20" s="307" t="s">
        <v>835</v>
      </c>
      <c r="C20" s="306" t="s">
        <v>506</v>
      </c>
      <c r="D20" s="310" t="s">
        <v>793</v>
      </c>
      <c r="E20" s="306" t="s">
        <v>834</v>
      </c>
    </row>
    <row r="21" spans="1:5" x14ac:dyDescent="0.2">
      <c r="A21" s="227" t="s">
        <v>336</v>
      </c>
      <c r="B21" s="227" t="s">
        <v>530</v>
      </c>
      <c r="C21" s="227" t="s">
        <v>590</v>
      </c>
      <c r="D21" s="229" t="s">
        <v>793</v>
      </c>
      <c r="E21" s="306" t="s">
        <v>805</v>
      </c>
    </row>
    <row r="22" spans="1:5" x14ac:dyDescent="0.2">
      <c r="A22" s="307" t="s">
        <v>336</v>
      </c>
      <c r="B22" s="307" t="s">
        <v>352</v>
      </c>
      <c r="C22" s="309" t="s">
        <v>815</v>
      </c>
      <c r="D22" s="310" t="s">
        <v>793</v>
      </c>
      <c r="E22" s="306" t="s">
        <v>814</v>
      </c>
    </row>
    <row r="23" spans="1:5" x14ac:dyDescent="0.2">
      <c r="A23" s="227" t="s">
        <v>336</v>
      </c>
      <c r="B23" s="227" t="s">
        <v>424</v>
      </c>
      <c r="C23" s="227" t="s">
        <v>524</v>
      </c>
      <c r="D23" s="229" t="s">
        <v>793</v>
      </c>
      <c r="E23" s="306" t="s">
        <v>806</v>
      </c>
    </row>
    <row r="24" spans="1:5" x14ac:dyDescent="0.2">
      <c r="A24" s="307" t="s">
        <v>336</v>
      </c>
      <c r="B24" s="307" t="s">
        <v>835</v>
      </c>
      <c r="C24" s="306" t="s">
        <v>516</v>
      </c>
      <c r="D24" s="310" t="s">
        <v>793</v>
      </c>
      <c r="E24" s="306" t="s">
        <v>806</v>
      </c>
    </row>
    <row r="25" spans="1:5" x14ac:dyDescent="0.2">
      <c r="A25" s="307" t="s">
        <v>336</v>
      </c>
      <c r="B25" s="307" t="s">
        <v>835</v>
      </c>
      <c r="C25" s="306" t="s">
        <v>833</v>
      </c>
      <c r="D25" s="310" t="s">
        <v>793</v>
      </c>
      <c r="E25" s="306" t="s">
        <v>832</v>
      </c>
    </row>
    <row r="26" spans="1:5" x14ac:dyDescent="0.2">
      <c r="A26" s="227" t="s">
        <v>336</v>
      </c>
      <c r="B26" s="227" t="s">
        <v>338</v>
      </c>
      <c r="C26" s="227" t="s">
        <v>437</v>
      </c>
      <c r="D26" s="229" t="s">
        <v>793</v>
      </c>
      <c r="E26" s="306" t="s">
        <v>807</v>
      </c>
    </row>
    <row r="27" spans="1:5" x14ac:dyDescent="0.2">
      <c r="A27" s="307" t="s">
        <v>822</v>
      </c>
      <c r="C27" s="311" t="s">
        <v>820</v>
      </c>
      <c r="D27" s="308" t="s">
        <v>536</v>
      </c>
      <c r="E27" s="306" t="s">
        <v>821</v>
      </c>
    </row>
    <row r="28" spans="1:5" x14ac:dyDescent="0.2">
      <c r="A28" s="307" t="s">
        <v>336</v>
      </c>
      <c r="B28" s="307" t="s">
        <v>835</v>
      </c>
      <c r="C28" s="311" t="s">
        <v>672</v>
      </c>
      <c r="D28" s="308" t="s">
        <v>536</v>
      </c>
      <c r="E28" s="306" t="s">
        <v>823</v>
      </c>
    </row>
    <row r="29" spans="1:5" x14ac:dyDescent="0.2">
      <c r="A29" s="307" t="s">
        <v>336</v>
      </c>
      <c r="B29" s="307" t="s">
        <v>835</v>
      </c>
      <c r="C29" s="311" t="s">
        <v>830</v>
      </c>
      <c r="D29" s="310" t="s">
        <v>793</v>
      </c>
      <c r="E29" s="306" t="s">
        <v>829</v>
      </c>
    </row>
    <row r="30" spans="1:5" x14ac:dyDescent="0.2">
      <c r="A30" s="227" t="s">
        <v>336</v>
      </c>
      <c r="B30" s="227" t="s">
        <v>338</v>
      </c>
      <c r="C30" s="227" t="s">
        <v>408</v>
      </c>
      <c r="D30" s="229" t="s">
        <v>793</v>
      </c>
      <c r="E30" s="306" t="s">
        <v>808</v>
      </c>
    </row>
    <row r="31" spans="1:5" x14ac:dyDescent="0.2">
      <c r="A31" s="227" t="s">
        <v>336</v>
      </c>
      <c r="B31" s="227" t="s">
        <v>338</v>
      </c>
      <c r="C31" s="227" t="s">
        <v>436</v>
      </c>
      <c r="D31" s="229" t="s">
        <v>793</v>
      </c>
      <c r="E31" s="306" t="s">
        <v>809</v>
      </c>
    </row>
    <row r="32" spans="1:5" x14ac:dyDescent="0.2">
      <c r="A32" s="227" t="s">
        <v>336</v>
      </c>
      <c r="B32" s="227" t="s">
        <v>338</v>
      </c>
      <c r="C32" s="227" t="s">
        <v>428</v>
      </c>
      <c r="D32" s="229" t="s">
        <v>793</v>
      </c>
      <c r="E32" s="306" t="s">
        <v>810</v>
      </c>
    </row>
    <row r="33" spans="1:5" x14ac:dyDescent="0.2">
      <c r="A33" s="227" t="s">
        <v>336</v>
      </c>
      <c r="B33" s="227" t="s">
        <v>338</v>
      </c>
      <c r="C33" s="309" t="s">
        <v>656</v>
      </c>
      <c r="D33" s="310" t="s">
        <v>793</v>
      </c>
      <c r="E33" s="306" t="s">
        <v>816</v>
      </c>
    </row>
    <row r="34" spans="1:5" x14ac:dyDescent="0.2">
      <c r="A34" s="307" t="s">
        <v>336</v>
      </c>
      <c r="B34" s="307" t="s">
        <v>835</v>
      </c>
      <c r="C34" s="306" t="s">
        <v>789</v>
      </c>
      <c r="D34" s="310" t="s">
        <v>793</v>
      </c>
      <c r="E34" s="306" t="s">
        <v>826</v>
      </c>
    </row>
    <row r="35" spans="1:5" x14ac:dyDescent="0.2">
      <c r="A35" s="227" t="s">
        <v>336</v>
      </c>
      <c r="B35" s="227" t="s">
        <v>338</v>
      </c>
      <c r="C35" s="231" t="s">
        <v>790</v>
      </c>
      <c r="D35" s="230" t="s">
        <v>536</v>
      </c>
      <c r="E35" s="306" t="s">
        <v>811</v>
      </c>
    </row>
    <row r="36" spans="1:5" x14ac:dyDescent="0.2">
      <c r="A36" s="227" t="s">
        <v>336</v>
      </c>
      <c r="B36" s="227" t="s">
        <v>525</v>
      </c>
      <c r="C36" s="227" t="s">
        <v>619</v>
      </c>
      <c r="D36" s="229" t="s">
        <v>793</v>
      </c>
      <c r="E36" s="306" t="s">
        <v>812</v>
      </c>
    </row>
    <row r="37" spans="1:5" x14ac:dyDescent="0.2">
      <c r="A37" s="307" t="s">
        <v>149</v>
      </c>
      <c r="B37" s="307" t="s">
        <v>338</v>
      </c>
      <c r="C37" s="309" t="s">
        <v>707</v>
      </c>
      <c r="D37" s="310" t="s">
        <v>793</v>
      </c>
      <c r="E37" s="306" t="s">
        <v>817</v>
      </c>
    </row>
    <row r="42" spans="1:5" ht="13.5" customHeight="1" x14ac:dyDescent="0.2"/>
  </sheetData>
  <sortState ref="A2:F37">
    <sortCondition ref="C2:C37"/>
  </sortState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A1:S110"/>
  <sheetViews>
    <sheetView zoomScale="83" zoomScaleNormal="83" workbookViewId="0">
      <pane ySplit="4" topLeftCell="A5" activePane="bottomLeft" state="frozen"/>
      <selection pane="bottomLeft" activeCell="S4" sqref="S4"/>
    </sheetView>
  </sheetViews>
  <sheetFormatPr defaultColWidth="9" defaultRowHeight="14.25" x14ac:dyDescent="0.2"/>
  <cols>
    <col min="1" max="1" width="10.625" style="5" customWidth="1"/>
    <col min="2" max="2" width="7.375" style="5" customWidth="1"/>
    <col min="3" max="3" width="13.75" style="8" customWidth="1"/>
    <col min="4" max="4" width="6.875" style="5" customWidth="1"/>
    <col min="5" max="5" width="5.625" style="5" customWidth="1"/>
    <col min="6" max="6" width="5.375" style="25" customWidth="1"/>
    <col min="7" max="7" width="10.625" style="25" customWidth="1"/>
    <col min="8" max="8" width="16.75" style="5" customWidth="1"/>
    <col min="9" max="9" width="10" style="25" customWidth="1"/>
    <col min="10" max="10" width="16.125" style="5" customWidth="1"/>
    <col min="11" max="11" width="10.375" style="5" customWidth="1"/>
    <col min="12" max="12" width="8.625" style="5" customWidth="1"/>
    <col min="13" max="15" width="10.625" style="5" customWidth="1"/>
    <col min="16" max="16" width="10.75" style="5" customWidth="1"/>
    <col min="17" max="41" width="10.625" style="5" customWidth="1"/>
    <col min="42" max="16384" width="9" style="5"/>
  </cols>
  <sheetData>
    <row r="1" spans="1:19" ht="15" x14ac:dyDescent="0.2">
      <c r="A1" s="312" t="s">
        <v>33</v>
      </c>
      <c r="B1" s="2" t="s">
        <v>792</v>
      </c>
    </row>
    <row r="2" spans="1:19" x14ac:dyDescent="0.2">
      <c r="B2" t="s">
        <v>875</v>
      </c>
    </row>
    <row r="3" spans="1:19" x14ac:dyDescent="0.2">
      <c r="B3"/>
    </row>
    <row r="4" spans="1:19" s="7" customFormat="1" ht="32.25" customHeight="1" x14ac:dyDescent="0.2">
      <c r="A4" s="6" t="s">
        <v>3</v>
      </c>
      <c r="B4" s="6" t="s">
        <v>0</v>
      </c>
      <c r="C4" s="6" t="s">
        <v>1</v>
      </c>
      <c r="D4" s="6" t="s">
        <v>5</v>
      </c>
      <c r="E4" s="197" t="s">
        <v>25</v>
      </c>
      <c r="F4" s="85" t="s">
        <v>12</v>
      </c>
      <c r="G4" s="82" t="s">
        <v>2</v>
      </c>
      <c r="H4" s="301" t="s">
        <v>4</v>
      </c>
      <c r="I4" s="301"/>
      <c r="J4" s="6" t="s">
        <v>6</v>
      </c>
      <c r="K4" s="4" t="s">
        <v>16</v>
      </c>
      <c r="L4" s="6" t="s">
        <v>22</v>
      </c>
      <c r="M4" s="4" t="s">
        <v>23</v>
      </c>
      <c r="N4" s="6" t="s">
        <v>18</v>
      </c>
      <c r="O4" s="6" t="s">
        <v>19</v>
      </c>
      <c r="P4" s="4" t="s">
        <v>21</v>
      </c>
      <c r="Q4" s="4" t="s">
        <v>865</v>
      </c>
      <c r="R4" s="4" t="s">
        <v>869</v>
      </c>
      <c r="S4" s="6" t="s">
        <v>90</v>
      </c>
    </row>
    <row r="5" spans="1:19" x14ac:dyDescent="0.2">
      <c r="A5" s="5" t="s">
        <v>336</v>
      </c>
      <c r="C5" s="8" t="s">
        <v>555</v>
      </c>
      <c r="G5" s="25" t="s">
        <v>142</v>
      </c>
      <c r="I5" s="27" t="s">
        <v>7</v>
      </c>
      <c r="L5" s="27"/>
      <c r="M5" s="27"/>
      <c r="N5" s="217" t="s">
        <v>7</v>
      </c>
      <c r="O5" s="50" t="s">
        <v>7</v>
      </c>
      <c r="P5" s="50" t="s">
        <v>7</v>
      </c>
      <c r="Q5"/>
      <c r="R5" s="25"/>
      <c r="S5" s="9"/>
    </row>
    <row r="6" spans="1:19" x14ac:dyDescent="0.2">
      <c r="A6" s="5" t="s">
        <v>336</v>
      </c>
      <c r="B6" s="5" t="s">
        <v>338</v>
      </c>
      <c r="C6" s="8" t="s">
        <v>815</v>
      </c>
      <c r="D6" s="79" t="s">
        <v>339</v>
      </c>
      <c r="E6" s="198" t="s">
        <v>367</v>
      </c>
      <c r="F6" s="89"/>
      <c r="H6" s="5" t="s">
        <v>340</v>
      </c>
      <c r="I6" s="50"/>
      <c r="J6" s="5" t="s">
        <v>866</v>
      </c>
      <c r="K6" s="5" t="s">
        <v>341</v>
      </c>
      <c r="L6"/>
      <c r="M6"/>
      <c r="N6" s="218"/>
      <c r="O6"/>
      <c r="P6"/>
      <c r="Q6" s="56"/>
      <c r="R6" s="50" t="s">
        <v>342</v>
      </c>
      <c r="S6" s="9"/>
    </row>
    <row r="7" spans="1:19" x14ac:dyDescent="0.2">
      <c r="A7" s="5" t="s">
        <v>336</v>
      </c>
      <c r="B7" s="5" t="s">
        <v>338</v>
      </c>
      <c r="C7" s="224" t="s">
        <v>790</v>
      </c>
      <c r="D7" s="79" t="s">
        <v>335</v>
      </c>
      <c r="E7" s="198" t="s">
        <v>367</v>
      </c>
      <c r="F7" s="313">
        <v>1</v>
      </c>
      <c r="G7" s="25">
        <v>50</v>
      </c>
      <c r="H7" s="5" t="s">
        <v>442</v>
      </c>
      <c r="I7" s="87" t="s">
        <v>7</v>
      </c>
      <c r="J7" s="5" t="s">
        <v>364</v>
      </c>
      <c r="K7" s="5" t="s">
        <v>384</v>
      </c>
      <c r="L7" s="302" t="s">
        <v>7</v>
      </c>
      <c r="M7" s="302" t="s">
        <v>7</v>
      </c>
      <c r="N7" s="218"/>
      <c r="O7"/>
      <c r="P7"/>
      <c r="Q7" s="303" t="s">
        <v>7</v>
      </c>
      <c r="R7" s="25"/>
      <c r="S7" s="9"/>
    </row>
    <row r="8" spans="1:19" x14ac:dyDescent="0.2">
      <c r="E8" s="198" t="s">
        <v>367</v>
      </c>
      <c r="F8" s="25">
        <v>1</v>
      </c>
      <c r="G8" s="25">
        <v>50</v>
      </c>
      <c r="H8" s="5" t="s">
        <v>443</v>
      </c>
      <c r="I8" s="87" t="s">
        <v>7</v>
      </c>
      <c r="J8" s="5" t="s">
        <v>364</v>
      </c>
      <c r="K8" s="5" t="s">
        <v>384</v>
      </c>
      <c r="L8" s="302" t="s">
        <v>7</v>
      </c>
      <c r="M8" s="302" t="s">
        <v>7</v>
      </c>
      <c r="N8" s="218"/>
      <c r="O8"/>
      <c r="P8"/>
      <c r="Q8" s="303" t="s">
        <v>7</v>
      </c>
      <c r="R8" s="25"/>
      <c r="S8" s="9"/>
    </row>
    <row r="9" spans="1:19" x14ac:dyDescent="0.2">
      <c r="E9" s="198" t="s">
        <v>367</v>
      </c>
      <c r="F9" s="25">
        <v>1</v>
      </c>
      <c r="G9" s="25">
        <v>50</v>
      </c>
      <c r="H9" s="5" t="s">
        <v>444</v>
      </c>
      <c r="I9" s="87" t="s">
        <v>7</v>
      </c>
      <c r="J9" s="5" t="s">
        <v>364</v>
      </c>
      <c r="K9" s="5" t="s">
        <v>384</v>
      </c>
      <c r="L9" s="303" t="s">
        <v>7</v>
      </c>
      <c r="M9" s="303" t="s">
        <v>7</v>
      </c>
      <c r="Q9" s="302" t="s">
        <v>7</v>
      </c>
    </row>
    <row r="10" spans="1:19" x14ac:dyDescent="0.2">
      <c r="E10" s="198" t="s">
        <v>367</v>
      </c>
      <c r="F10" s="25">
        <v>1</v>
      </c>
      <c r="G10" s="25">
        <v>50</v>
      </c>
      <c r="H10" s="5" t="s">
        <v>412</v>
      </c>
      <c r="I10" s="50" t="s">
        <v>7</v>
      </c>
      <c r="J10" s="5" t="s">
        <v>337</v>
      </c>
      <c r="K10" s="5" t="s">
        <v>384</v>
      </c>
      <c r="L10" s="303" t="s">
        <v>7</v>
      </c>
      <c r="M10" s="303" t="s">
        <v>7</v>
      </c>
      <c r="Q10" s="25"/>
    </row>
    <row r="11" spans="1:19" x14ac:dyDescent="0.2">
      <c r="A11" s="5" t="s">
        <v>336</v>
      </c>
      <c r="B11" s="5" t="s">
        <v>338</v>
      </c>
      <c r="C11" s="224" t="s">
        <v>386</v>
      </c>
      <c r="D11" s="5" t="s">
        <v>335</v>
      </c>
      <c r="E11" s="198" t="s">
        <v>367</v>
      </c>
      <c r="F11" s="25">
        <v>1</v>
      </c>
      <c r="G11" s="25" t="s">
        <v>387</v>
      </c>
      <c r="H11" s="5" t="s">
        <v>413</v>
      </c>
      <c r="I11" s="50" t="s">
        <v>7</v>
      </c>
      <c r="J11" s="5" t="s">
        <v>364</v>
      </c>
      <c r="K11" s="5" t="s">
        <v>393</v>
      </c>
      <c r="L11" s="27" t="s">
        <v>7</v>
      </c>
      <c r="M11" s="26"/>
    </row>
    <row r="12" spans="1:19" x14ac:dyDescent="0.2">
      <c r="E12" s="198" t="s">
        <v>367</v>
      </c>
      <c r="F12" s="25">
        <v>1</v>
      </c>
      <c r="G12" s="25" t="s">
        <v>389</v>
      </c>
      <c r="H12" s="5" t="s">
        <v>413</v>
      </c>
      <c r="I12" s="50" t="s">
        <v>7</v>
      </c>
      <c r="J12" s="5" t="s">
        <v>364</v>
      </c>
      <c r="K12" s="5" t="s">
        <v>393</v>
      </c>
      <c r="L12" s="50" t="s">
        <v>7</v>
      </c>
      <c r="Q12" s="25" t="s">
        <v>7</v>
      </c>
    </row>
    <row r="13" spans="1:19" x14ac:dyDescent="0.2">
      <c r="B13" s="5" t="s">
        <v>338</v>
      </c>
      <c r="C13" s="224" t="s">
        <v>391</v>
      </c>
      <c r="D13" s="5" t="s">
        <v>335</v>
      </c>
      <c r="E13" s="198" t="s">
        <v>367</v>
      </c>
      <c r="F13" s="25">
        <v>1</v>
      </c>
      <c r="G13" s="25">
        <v>200</v>
      </c>
      <c r="H13" s="5" t="s">
        <v>394</v>
      </c>
      <c r="I13" s="50" t="s">
        <v>7</v>
      </c>
      <c r="J13" s="5" t="s">
        <v>364</v>
      </c>
      <c r="K13" s="5" t="s">
        <v>384</v>
      </c>
      <c r="L13" s="50" t="s">
        <v>7</v>
      </c>
    </row>
    <row r="14" spans="1:19" x14ac:dyDescent="0.2">
      <c r="E14" s="198" t="s">
        <v>367</v>
      </c>
      <c r="F14" s="25">
        <v>1</v>
      </c>
      <c r="G14" s="25" t="s">
        <v>387</v>
      </c>
      <c r="H14" s="5" t="s">
        <v>413</v>
      </c>
      <c r="I14" s="50" t="s">
        <v>7</v>
      </c>
      <c r="J14" s="5" t="s">
        <v>364</v>
      </c>
      <c r="K14" s="5" t="s">
        <v>393</v>
      </c>
      <c r="L14" s="50" t="s">
        <v>7</v>
      </c>
    </row>
    <row r="15" spans="1:19" x14ac:dyDescent="0.2">
      <c r="E15" s="198" t="s">
        <v>367</v>
      </c>
      <c r="F15" s="25">
        <v>8</v>
      </c>
      <c r="G15" s="25">
        <v>200</v>
      </c>
      <c r="H15" s="5" t="s">
        <v>394</v>
      </c>
      <c r="I15" s="50" t="s">
        <v>7</v>
      </c>
      <c r="J15" s="5" t="s">
        <v>364</v>
      </c>
      <c r="K15" s="5" t="s">
        <v>384</v>
      </c>
      <c r="L15" s="50" t="s">
        <v>7</v>
      </c>
    </row>
    <row r="16" spans="1:19" x14ac:dyDescent="0.2">
      <c r="E16" s="198" t="s">
        <v>367</v>
      </c>
      <c r="F16" s="25">
        <v>8</v>
      </c>
      <c r="G16" s="25" t="s">
        <v>387</v>
      </c>
      <c r="H16" s="5" t="s">
        <v>392</v>
      </c>
      <c r="I16" s="50" t="s">
        <v>7</v>
      </c>
      <c r="J16" s="5" t="s">
        <v>364</v>
      </c>
      <c r="K16" s="5" t="s">
        <v>393</v>
      </c>
      <c r="L16" s="50" t="s">
        <v>7</v>
      </c>
    </row>
    <row r="17" spans="2:12" x14ac:dyDescent="0.2">
      <c r="B17" s="5" t="s">
        <v>338</v>
      </c>
      <c r="C17" s="8" t="s">
        <v>408</v>
      </c>
      <c r="D17" s="5" t="s">
        <v>409</v>
      </c>
      <c r="E17" s="198" t="s">
        <v>367</v>
      </c>
      <c r="F17" s="25">
        <v>1</v>
      </c>
      <c r="G17" s="25">
        <v>5</v>
      </c>
      <c r="H17" s="5" t="s">
        <v>370</v>
      </c>
      <c r="J17" s="5" t="s">
        <v>337</v>
      </c>
      <c r="K17" s="5" t="s">
        <v>410</v>
      </c>
      <c r="L17" s="50" t="s">
        <v>7</v>
      </c>
    </row>
    <row r="18" spans="2:12" x14ac:dyDescent="0.2">
      <c r="D18" s="5" t="s">
        <v>335</v>
      </c>
      <c r="E18" s="198" t="s">
        <v>367</v>
      </c>
      <c r="F18" s="25">
        <v>1</v>
      </c>
      <c r="G18" s="25">
        <v>5</v>
      </c>
      <c r="H18" s="5" t="s">
        <v>411</v>
      </c>
      <c r="J18" s="5" t="s">
        <v>337</v>
      </c>
      <c r="K18" s="5" t="s">
        <v>410</v>
      </c>
      <c r="L18" s="50" t="s">
        <v>7</v>
      </c>
    </row>
    <row r="19" spans="2:12" x14ac:dyDescent="0.2">
      <c r="D19" s="5" t="s">
        <v>409</v>
      </c>
      <c r="E19" s="198" t="s">
        <v>367</v>
      </c>
      <c r="F19" s="25">
        <v>1</v>
      </c>
      <c r="G19" s="25">
        <v>5</v>
      </c>
      <c r="H19" s="5" t="s">
        <v>632</v>
      </c>
      <c r="J19" s="5" t="s">
        <v>337</v>
      </c>
      <c r="K19" s="5" t="s">
        <v>418</v>
      </c>
      <c r="L19" s="50" t="s">
        <v>7</v>
      </c>
    </row>
    <row r="20" spans="2:12" x14ac:dyDescent="0.2">
      <c r="D20" s="5" t="s">
        <v>335</v>
      </c>
      <c r="E20" s="198" t="s">
        <v>367</v>
      </c>
      <c r="F20" s="25">
        <v>1</v>
      </c>
      <c r="G20" s="25">
        <v>5</v>
      </c>
      <c r="H20" s="5" t="s">
        <v>417</v>
      </c>
      <c r="J20" s="5" t="s">
        <v>337</v>
      </c>
      <c r="K20" s="5" t="s">
        <v>631</v>
      </c>
      <c r="L20" s="50" t="s">
        <v>7</v>
      </c>
    </row>
    <row r="21" spans="2:12" x14ac:dyDescent="0.2">
      <c r="B21" s="5" t="s">
        <v>424</v>
      </c>
      <c r="C21" s="224" t="s">
        <v>423</v>
      </c>
      <c r="D21" s="5" t="s">
        <v>335</v>
      </c>
      <c r="E21" s="198" t="s">
        <v>367</v>
      </c>
      <c r="F21" s="25">
        <v>1</v>
      </c>
      <c r="H21" s="5" t="s">
        <v>370</v>
      </c>
      <c r="J21" s="5" t="s">
        <v>337</v>
      </c>
      <c r="K21" s="5" t="s">
        <v>393</v>
      </c>
      <c r="L21" s="25" t="s">
        <v>7</v>
      </c>
    </row>
    <row r="22" spans="2:12" x14ac:dyDescent="0.2">
      <c r="E22" s="198"/>
      <c r="L22" s="25"/>
    </row>
    <row r="23" spans="2:12" x14ac:dyDescent="0.2">
      <c r="B23" s="5" t="s">
        <v>424</v>
      </c>
      <c r="C23" s="8" t="s">
        <v>524</v>
      </c>
      <c r="D23" s="5" t="s">
        <v>514</v>
      </c>
      <c r="E23" s="198" t="s">
        <v>367</v>
      </c>
      <c r="F23" s="25">
        <v>1</v>
      </c>
      <c r="G23" s="25" t="s">
        <v>726</v>
      </c>
      <c r="H23" s="5" t="s">
        <v>515</v>
      </c>
      <c r="J23" s="5" t="s">
        <v>337</v>
      </c>
      <c r="K23" s="5" t="s">
        <v>562</v>
      </c>
      <c r="L23" s="50" t="s">
        <v>7</v>
      </c>
    </row>
    <row r="24" spans="2:12" x14ac:dyDescent="0.2">
      <c r="E24" s="198"/>
      <c r="L24" s="25"/>
    </row>
    <row r="25" spans="2:12" x14ac:dyDescent="0.2">
      <c r="E25" s="198"/>
      <c r="L25" s="25"/>
    </row>
    <row r="26" spans="2:12" x14ac:dyDescent="0.2">
      <c r="E26" s="198"/>
      <c r="L26" s="25"/>
    </row>
    <row r="27" spans="2:12" x14ac:dyDescent="0.2">
      <c r="B27" s="5" t="s">
        <v>338</v>
      </c>
      <c r="C27" s="8" t="s">
        <v>428</v>
      </c>
      <c r="D27" s="5" t="s">
        <v>409</v>
      </c>
      <c r="E27" s="198" t="s">
        <v>367</v>
      </c>
      <c r="F27" s="25">
        <v>1</v>
      </c>
      <c r="G27" s="25">
        <v>10</v>
      </c>
      <c r="H27" s="5" t="s">
        <v>370</v>
      </c>
      <c r="J27" s="5" t="s">
        <v>337</v>
      </c>
      <c r="L27" s="50" t="s">
        <v>7</v>
      </c>
    </row>
    <row r="28" spans="2:12" x14ac:dyDescent="0.2">
      <c r="E28" s="198" t="s">
        <v>367</v>
      </c>
      <c r="G28" s="25" t="s">
        <v>429</v>
      </c>
      <c r="H28" s="5" t="s">
        <v>370</v>
      </c>
      <c r="J28" s="5" t="s">
        <v>430</v>
      </c>
      <c r="K28" s="5" t="s">
        <v>431</v>
      </c>
      <c r="L28" s="50" t="s">
        <v>7</v>
      </c>
    </row>
    <row r="29" spans="2:12" x14ac:dyDescent="0.2">
      <c r="B29" s="5" t="s">
        <v>338</v>
      </c>
      <c r="C29" s="8" t="s">
        <v>436</v>
      </c>
      <c r="D29" s="5" t="s">
        <v>335</v>
      </c>
      <c r="E29" s="198" t="s">
        <v>367</v>
      </c>
      <c r="G29" s="25">
        <v>100</v>
      </c>
      <c r="H29" s="5" t="s">
        <v>340</v>
      </c>
      <c r="J29" s="5" t="s">
        <v>337</v>
      </c>
      <c r="L29" s="50" t="s">
        <v>7</v>
      </c>
    </row>
    <row r="30" spans="2:12" x14ac:dyDescent="0.2">
      <c r="E30" s="198" t="s">
        <v>367</v>
      </c>
      <c r="G30" s="25">
        <v>100</v>
      </c>
      <c r="H30" s="5" t="s">
        <v>340</v>
      </c>
      <c r="J30" s="5" t="s">
        <v>364</v>
      </c>
      <c r="L30" s="50" t="s">
        <v>7</v>
      </c>
    </row>
    <row r="31" spans="2:12" x14ac:dyDescent="0.2">
      <c r="E31" s="198" t="s">
        <v>367</v>
      </c>
      <c r="G31" s="25">
        <v>50</v>
      </c>
      <c r="H31" s="5" t="s">
        <v>629</v>
      </c>
      <c r="J31" s="5" t="s">
        <v>337</v>
      </c>
      <c r="L31" s="25"/>
    </row>
    <row r="32" spans="2:12" x14ac:dyDescent="0.2">
      <c r="E32" s="198" t="s">
        <v>367</v>
      </c>
      <c r="L32" s="25"/>
    </row>
    <row r="33" spans="2:17" x14ac:dyDescent="0.2">
      <c r="B33" s="5" t="s">
        <v>338</v>
      </c>
      <c r="C33" s="8" t="s">
        <v>437</v>
      </c>
      <c r="D33" s="5" t="s">
        <v>335</v>
      </c>
      <c r="E33" s="198" t="s">
        <v>367</v>
      </c>
      <c r="F33" s="25">
        <v>1</v>
      </c>
      <c r="G33" s="25">
        <v>25</v>
      </c>
      <c r="H33" s="5" t="s">
        <v>438</v>
      </c>
      <c r="J33" s="5" t="s">
        <v>337</v>
      </c>
      <c r="L33" s="50" t="s">
        <v>7</v>
      </c>
    </row>
    <row r="34" spans="2:17" x14ac:dyDescent="0.2">
      <c r="E34" s="198" t="s">
        <v>367</v>
      </c>
      <c r="F34" s="25">
        <v>1</v>
      </c>
      <c r="G34" s="25">
        <v>25</v>
      </c>
      <c r="H34" s="5" t="s">
        <v>439</v>
      </c>
      <c r="J34" s="5" t="s">
        <v>337</v>
      </c>
      <c r="L34" s="50" t="s">
        <v>7</v>
      </c>
    </row>
    <row r="35" spans="2:17" x14ac:dyDescent="0.2">
      <c r="E35" s="198" t="s">
        <v>367</v>
      </c>
      <c r="F35" s="25">
        <v>1</v>
      </c>
      <c r="G35" s="25">
        <v>25</v>
      </c>
      <c r="H35" s="5" t="s">
        <v>440</v>
      </c>
      <c r="J35" s="5" t="s">
        <v>337</v>
      </c>
      <c r="L35" s="50" t="s">
        <v>7</v>
      </c>
    </row>
    <row r="36" spans="2:17" x14ac:dyDescent="0.2">
      <c r="B36" s="5" t="s">
        <v>338</v>
      </c>
      <c r="C36" s="8" t="s">
        <v>448</v>
      </c>
      <c r="D36" s="5" t="s">
        <v>335</v>
      </c>
      <c r="E36" s="198" t="s">
        <v>367</v>
      </c>
      <c r="F36" s="25">
        <v>1</v>
      </c>
      <c r="G36" s="25">
        <v>100</v>
      </c>
      <c r="H36" s="5" t="s">
        <v>340</v>
      </c>
      <c r="J36" s="5" t="s">
        <v>337</v>
      </c>
      <c r="L36" s="50" t="s">
        <v>7</v>
      </c>
      <c r="Q36" s="50" t="s">
        <v>7</v>
      </c>
    </row>
    <row r="37" spans="2:17" x14ac:dyDescent="0.2">
      <c r="B37" s="5" t="s">
        <v>338</v>
      </c>
      <c r="C37" s="8" t="s">
        <v>480</v>
      </c>
      <c r="D37" s="5" t="s">
        <v>335</v>
      </c>
      <c r="E37" s="198" t="s">
        <v>367</v>
      </c>
      <c r="F37" s="25">
        <v>1</v>
      </c>
      <c r="G37" s="25">
        <v>50</v>
      </c>
      <c r="H37" s="5" t="s">
        <v>412</v>
      </c>
      <c r="I37" s="25" t="s">
        <v>494</v>
      </c>
      <c r="J37" s="5" t="s">
        <v>337</v>
      </c>
      <c r="K37" s="5" t="s">
        <v>341</v>
      </c>
      <c r="L37" s="50" t="s">
        <v>7</v>
      </c>
      <c r="Q37" s="26" t="s">
        <v>7</v>
      </c>
    </row>
    <row r="38" spans="2:17" x14ac:dyDescent="0.2">
      <c r="E38" s="198" t="s">
        <v>367</v>
      </c>
      <c r="F38" s="25">
        <v>1</v>
      </c>
      <c r="G38" s="25">
        <v>100</v>
      </c>
      <c r="H38" s="5" t="s">
        <v>483</v>
      </c>
      <c r="I38" s="25" t="s">
        <v>494</v>
      </c>
      <c r="J38" s="5" t="s">
        <v>364</v>
      </c>
      <c r="K38" s="5" t="s">
        <v>341</v>
      </c>
      <c r="L38" s="50" t="s">
        <v>7</v>
      </c>
      <c r="Q38" s="50" t="s">
        <v>7</v>
      </c>
    </row>
    <row r="39" spans="2:17" x14ac:dyDescent="0.2">
      <c r="E39" s="198" t="s">
        <v>367</v>
      </c>
      <c r="F39" s="25">
        <v>1</v>
      </c>
      <c r="G39" s="25">
        <v>100</v>
      </c>
      <c r="H39" s="5" t="s">
        <v>484</v>
      </c>
      <c r="I39" s="25" t="s">
        <v>494</v>
      </c>
      <c r="J39" s="5" t="s">
        <v>364</v>
      </c>
      <c r="K39" s="5" t="s">
        <v>341</v>
      </c>
      <c r="L39" s="50" t="s">
        <v>7</v>
      </c>
      <c r="Q39" s="50" t="s">
        <v>7</v>
      </c>
    </row>
    <row r="40" spans="2:17" x14ac:dyDescent="0.2">
      <c r="E40" s="198" t="s">
        <v>367</v>
      </c>
      <c r="F40" s="25">
        <v>1</v>
      </c>
      <c r="G40" s="25">
        <v>100</v>
      </c>
      <c r="H40" s="5" t="s">
        <v>485</v>
      </c>
      <c r="I40" s="25" t="s">
        <v>494</v>
      </c>
      <c r="J40" s="5" t="s">
        <v>364</v>
      </c>
      <c r="K40" s="5" t="s">
        <v>341</v>
      </c>
      <c r="L40" s="50" t="s">
        <v>7</v>
      </c>
      <c r="Q40" s="50" t="s">
        <v>7</v>
      </c>
    </row>
    <row r="41" spans="2:17" x14ac:dyDescent="0.2">
      <c r="E41" s="198"/>
    </row>
    <row r="42" spans="2:17" x14ac:dyDescent="0.2">
      <c r="B42" s="5" t="s">
        <v>338</v>
      </c>
      <c r="C42" s="224" t="s">
        <v>520</v>
      </c>
      <c r="E42" s="198" t="s">
        <v>367</v>
      </c>
      <c r="F42" s="25">
        <v>1</v>
      </c>
      <c r="G42" s="25">
        <v>100</v>
      </c>
      <c r="H42" s="5" t="s">
        <v>449</v>
      </c>
      <c r="I42" s="50" t="s">
        <v>7</v>
      </c>
      <c r="J42" s="5" t="s">
        <v>337</v>
      </c>
      <c r="K42" s="5" t="s">
        <v>341</v>
      </c>
      <c r="L42" s="50" t="s">
        <v>7</v>
      </c>
    </row>
    <row r="43" spans="2:17" x14ac:dyDescent="0.2">
      <c r="E43" s="198" t="s">
        <v>367</v>
      </c>
      <c r="F43" s="25">
        <v>1</v>
      </c>
      <c r="G43" s="25" t="s">
        <v>389</v>
      </c>
      <c r="H43" s="5" t="s">
        <v>388</v>
      </c>
      <c r="I43" s="50" t="s">
        <v>7</v>
      </c>
      <c r="J43" s="5" t="s">
        <v>364</v>
      </c>
      <c r="K43" s="5" t="s">
        <v>393</v>
      </c>
      <c r="L43" s="50" t="s">
        <v>7</v>
      </c>
    </row>
    <row r="44" spans="2:17" x14ac:dyDescent="0.2">
      <c r="E44" s="198" t="s">
        <v>367</v>
      </c>
      <c r="F44" s="25">
        <v>8</v>
      </c>
      <c r="G44" s="25">
        <v>100</v>
      </c>
      <c r="H44" s="5" t="s">
        <v>449</v>
      </c>
      <c r="J44" s="5" t="s">
        <v>337</v>
      </c>
      <c r="K44" s="5" t="s">
        <v>341</v>
      </c>
      <c r="L44" s="25" t="s">
        <v>7</v>
      </c>
    </row>
    <row r="45" spans="2:17" x14ac:dyDescent="0.2">
      <c r="E45" s="198" t="s">
        <v>367</v>
      </c>
      <c r="F45" s="25">
        <v>8</v>
      </c>
      <c r="G45" s="25" t="s">
        <v>389</v>
      </c>
      <c r="H45" s="5" t="s">
        <v>388</v>
      </c>
      <c r="J45" s="5" t="s">
        <v>364</v>
      </c>
      <c r="K45" s="5" t="s">
        <v>393</v>
      </c>
      <c r="L45" s="25" t="s">
        <v>7</v>
      </c>
    </row>
    <row r="46" spans="2:17" x14ac:dyDescent="0.2">
      <c r="E46" s="198"/>
    </row>
    <row r="47" spans="2:17" x14ac:dyDescent="0.2">
      <c r="B47" s="5" t="s">
        <v>530</v>
      </c>
      <c r="C47" s="224" t="s">
        <v>531</v>
      </c>
      <c r="D47" s="5" t="s">
        <v>335</v>
      </c>
      <c r="E47" s="198" t="s">
        <v>367</v>
      </c>
      <c r="F47" s="25">
        <v>1</v>
      </c>
      <c r="G47" s="25">
        <v>35</v>
      </c>
      <c r="H47" s="5" t="s">
        <v>532</v>
      </c>
      <c r="J47" s="5" t="s">
        <v>337</v>
      </c>
      <c r="K47" s="5" t="s">
        <v>341</v>
      </c>
      <c r="L47" s="50" t="s">
        <v>7</v>
      </c>
    </row>
    <row r="48" spans="2:17" x14ac:dyDescent="0.2">
      <c r="E48" s="198"/>
    </row>
    <row r="49" spans="2:17" x14ac:dyDescent="0.2">
      <c r="B49" s="5" t="s">
        <v>530</v>
      </c>
      <c r="C49" s="8" t="s">
        <v>563</v>
      </c>
      <c r="D49" s="5" t="s">
        <v>409</v>
      </c>
      <c r="E49" s="198" t="s">
        <v>367</v>
      </c>
      <c r="F49" s="25">
        <v>1</v>
      </c>
      <c r="G49" s="25" t="s">
        <v>571</v>
      </c>
      <c r="H49" s="5" t="s">
        <v>573</v>
      </c>
      <c r="J49" s="5" t="s">
        <v>337</v>
      </c>
      <c r="K49" s="5" t="s">
        <v>341</v>
      </c>
      <c r="L49" s="50" t="s">
        <v>7</v>
      </c>
    </row>
    <row r="50" spans="2:17" x14ac:dyDescent="0.2">
      <c r="D50" s="5" t="s">
        <v>335</v>
      </c>
      <c r="E50" s="198" t="s">
        <v>367</v>
      </c>
      <c r="F50" s="25">
        <v>1</v>
      </c>
      <c r="G50" s="25" t="s">
        <v>571</v>
      </c>
      <c r="H50" s="5" t="s">
        <v>573</v>
      </c>
      <c r="J50" s="5" t="s">
        <v>337</v>
      </c>
      <c r="K50" s="5" t="s">
        <v>341</v>
      </c>
      <c r="L50" s="50" t="s">
        <v>7</v>
      </c>
    </row>
    <row r="51" spans="2:17" x14ac:dyDescent="0.2">
      <c r="D51" s="5" t="s">
        <v>409</v>
      </c>
      <c r="E51" s="198" t="s">
        <v>367</v>
      </c>
      <c r="F51" s="25">
        <v>1</v>
      </c>
      <c r="G51" s="25" t="s">
        <v>570</v>
      </c>
      <c r="H51" s="5" t="s">
        <v>573</v>
      </c>
      <c r="J51" s="5" t="s">
        <v>337</v>
      </c>
      <c r="K51" s="5" t="s">
        <v>341</v>
      </c>
      <c r="L51" s="50" t="s">
        <v>7</v>
      </c>
    </row>
    <row r="52" spans="2:17" x14ac:dyDescent="0.2">
      <c r="D52" s="5" t="s">
        <v>335</v>
      </c>
      <c r="E52" s="198" t="s">
        <v>367</v>
      </c>
      <c r="F52" s="25">
        <v>1</v>
      </c>
      <c r="G52" s="25" t="s">
        <v>570</v>
      </c>
      <c r="H52" s="5" t="s">
        <v>573</v>
      </c>
      <c r="J52" s="5" t="s">
        <v>337</v>
      </c>
      <c r="K52" s="5" t="s">
        <v>341</v>
      </c>
      <c r="L52" s="50" t="s">
        <v>7</v>
      </c>
    </row>
    <row r="53" spans="2:17" x14ac:dyDescent="0.2">
      <c r="D53" s="5" t="s">
        <v>335</v>
      </c>
      <c r="E53" s="198" t="s">
        <v>367</v>
      </c>
      <c r="F53" s="25">
        <v>1</v>
      </c>
      <c r="G53" s="25" t="s">
        <v>572</v>
      </c>
      <c r="H53" s="5" t="s">
        <v>573</v>
      </c>
      <c r="J53" s="5" t="s">
        <v>337</v>
      </c>
      <c r="K53" s="5" t="s">
        <v>341</v>
      </c>
      <c r="L53" s="25" t="s">
        <v>7</v>
      </c>
    </row>
    <row r="54" spans="2:17" x14ac:dyDescent="0.2">
      <c r="D54" s="5" t="s">
        <v>409</v>
      </c>
      <c r="E54" s="198" t="s">
        <v>367</v>
      </c>
      <c r="F54" s="25">
        <v>12</v>
      </c>
      <c r="G54" s="25" t="s">
        <v>571</v>
      </c>
      <c r="H54" s="5" t="s">
        <v>573</v>
      </c>
      <c r="J54" s="5" t="s">
        <v>337</v>
      </c>
      <c r="K54" s="5" t="s">
        <v>341</v>
      </c>
      <c r="L54" s="50" t="s">
        <v>7</v>
      </c>
    </row>
    <row r="55" spans="2:17" x14ac:dyDescent="0.2">
      <c r="E55" s="198"/>
      <c r="L55" s="25"/>
    </row>
    <row r="56" spans="2:17" x14ac:dyDescent="0.2">
      <c r="B56" s="5" t="s">
        <v>424</v>
      </c>
      <c r="C56" s="8" t="s">
        <v>563</v>
      </c>
      <c r="D56" s="5" t="s">
        <v>409</v>
      </c>
      <c r="E56" s="198" t="s">
        <v>367</v>
      </c>
      <c r="F56" s="25">
        <v>1</v>
      </c>
      <c r="G56" s="25" t="s">
        <v>570</v>
      </c>
      <c r="H56" s="5" t="s">
        <v>573</v>
      </c>
      <c r="J56" s="5" t="s">
        <v>337</v>
      </c>
      <c r="K56" s="5" t="s">
        <v>341</v>
      </c>
      <c r="L56" s="25" t="s">
        <v>7</v>
      </c>
    </row>
    <row r="57" spans="2:17" x14ac:dyDescent="0.2">
      <c r="D57" s="5" t="s">
        <v>335</v>
      </c>
      <c r="E57" s="198" t="s">
        <v>367</v>
      </c>
      <c r="F57" s="25">
        <v>1</v>
      </c>
      <c r="G57" s="25" t="s">
        <v>570</v>
      </c>
      <c r="H57" s="5" t="s">
        <v>573</v>
      </c>
      <c r="J57" s="5" t="s">
        <v>337</v>
      </c>
      <c r="K57" s="5" t="s">
        <v>341</v>
      </c>
      <c r="L57" s="25" t="s">
        <v>7</v>
      </c>
      <c r="N57"/>
    </row>
    <row r="58" spans="2:17" x14ac:dyDescent="0.2">
      <c r="D58" s="5" t="s">
        <v>335</v>
      </c>
      <c r="E58" s="198" t="s">
        <v>367</v>
      </c>
      <c r="F58" s="25">
        <v>1</v>
      </c>
      <c r="G58" s="25" t="s">
        <v>572</v>
      </c>
      <c r="H58" s="5" t="s">
        <v>573</v>
      </c>
      <c r="J58" s="5" t="s">
        <v>337</v>
      </c>
      <c r="K58" s="5" t="s">
        <v>341</v>
      </c>
      <c r="L58" s="25" t="s">
        <v>7</v>
      </c>
    </row>
    <row r="59" spans="2:17" x14ac:dyDescent="0.2">
      <c r="D59" s="5" t="s">
        <v>409</v>
      </c>
      <c r="E59" s="198" t="s">
        <v>367</v>
      </c>
      <c r="F59" s="25">
        <v>9</v>
      </c>
      <c r="G59" s="25" t="s">
        <v>574</v>
      </c>
      <c r="H59" s="5" t="s">
        <v>573</v>
      </c>
      <c r="J59" s="5" t="s">
        <v>337</v>
      </c>
      <c r="K59" s="5" t="s">
        <v>341</v>
      </c>
      <c r="L59" s="25" t="s">
        <v>7</v>
      </c>
    </row>
    <row r="60" spans="2:17" x14ac:dyDescent="0.2">
      <c r="E60" s="198"/>
    </row>
    <row r="61" spans="2:17" x14ac:dyDescent="0.2">
      <c r="B61" s="5" t="s">
        <v>530</v>
      </c>
      <c r="C61" s="8" t="s">
        <v>564</v>
      </c>
      <c r="D61" s="5" t="s">
        <v>335</v>
      </c>
      <c r="E61" s="198" t="s">
        <v>367</v>
      </c>
      <c r="F61" s="25">
        <v>1</v>
      </c>
      <c r="G61" s="25">
        <v>200</v>
      </c>
      <c r="H61" s="5" t="s">
        <v>565</v>
      </c>
      <c r="I61" s="50" t="s">
        <v>7</v>
      </c>
      <c r="J61" s="5" t="s">
        <v>364</v>
      </c>
      <c r="K61" s="5" t="s">
        <v>341</v>
      </c>
      <c r="L61" s="27" t="s">
        <v>7</v>
      </c>
      <c r="M61" s="50" t="s">
        <v>7</v>
      </c>
      <c r="N61" s="25"/>
      <c r="O61" s="25"/>
      <c r="P61" s="25"/>
      <c r="Q61" s="25" t="s">
        <v>7</v>
      </c>
    </row>
    <row r="62" spans="2:17" x14ac:dyDescent="0.2">
      <c r="D62" s="5" t="s">
        <v>335</v>
      </c>
      <c r="E62" s="198" t="s">
        <v>367</v>
      </c>
      <c r="F62" s="25">
        <v>1</v>
      </c>
      <c r="G62" s="25">
        <v>200</v>
      </c>
      <c r="H62" s="5" t="s">
        <v>578</v>
      </c>
      <c r="J62" s="5" t="s">
        <v>337</v>
      </c>
      <c r="K62" s="5" t="s">
        <v>341</v>
      </c>
      <c r="L62" s="50" t="s">
        <v>7</v>
      </c>
      <c r="M62" s="50" t="s">
        <v>7</v>
      </c>
      <c r="N62" s="25"/>
      <c r="O62" s="25"/>
      <c r="P62" s="25"/>
      <c r="Q62" s="25" t="s">
        <v>7</v>
      </c>
    </row>
    <row r="63" spans="2:17" x14ac:dyDescent="0.2">
      <c r="E63" s="198"/>
    </row>
    <row r="64" spans="2:17" x14ac:dyDescent="0.2">
      <c r="B64" s="5" t="s">
        <v>530</v>
      </c>
      <c r="C64" s="8" t="s">
        <v>590</v>
      </c>
      <c r="D64" s="199" t="s">
        <v>409</v>
      </c>
      <c r="E64" s="199" t="s">
        <v>367</v>
      </c>
      <c r="F64" s="200">
        <v>1</v>
      </c>
      <c r="G64" s="200">
        <v>5</v>
      </c>
      <c r="H64" s="199" t="s">
        <v>370</v>
      </c>
      <c r="I64" s="200"/>
      <c r="J64" s="199" t="s">
        <v>337</v>
      </c>
      <c r="K64" s="199" t="s">
        <v>341</v>
      </c>
      <c r="L64" s="50" t="s">
        <v>7</v>
      </c>
    </row>
    <row r="65" spans="1:17" x14ac:dyDescent="0.2">
      <c r="D65" s="5" t="s">
        <v>335</v>
      </c>
      <c r="E65" s="198" t="s">
        <v>367</v>
      </c>
      <c r="F65" s="25">
        <v>1</v>
      </c>
      <c r="G65" s="25">
        <v>100</v>
      </c>
      <c r="H65" s="5" t="s">
        <v>592</v>
      </c>
      <c r="I65" s="25" t="s">
        <v>7</v>
      </c>
      <c r="J65" s="5" t="s">
        <v>589</v>
      </c>
      <c r="K65" s="5" t="s">
        <v>341</v>
      </c>
      <c r="L65" s="50" t="s">
        <v>7</v>
      </c>
      <c r="Q65" s="25" t="s">
        <v>7</v>
      </c>
    </row>
    <row r="66" spans="1:17" x14ac:dyDescent="0.2">
      <c r="E66" s="198" t="s">
        <v>367</v>
      </c>
      <c r="F66" s="25">
        <v>1</v>
      </c>
      <c r="G66" s="25">
        <v>100</v>
      </c>
      <c r="H66" s="5" t="s">
        <v>591</v>
      </c>
      <c r="I66" s="25" t="s">
        <v>7</v>
      </c>
      <c r="J66" s="5" t="s">
        <v>364</v>
      </c>
      <c r="K66" s="5" t="s">
        <v>341</v>
      </c>
      <c r="L66" s="50" t="s">
        <v>7</v>
      </c>
      <c r="Q66" s="25" t="s">
        <v>7</v>
      </c>
    </row>
    <row r="67" spans="1:17" x14ac:dyDescent="0.2">
      <c r="E67" s="198" t="s">
        <v>367</v>
      </c>
      <c r="F67" s="25">
        <v>1</v>
      </c>
      <c r="G67" s="25">
        <v>100</v>
      </c>
      <c r="H67" s="5" t="s">
        <v>593</v>
      </c>
      <c r="I67" s="25" t="s">
        <v>7</v>
      </c>
      <c r="J67" s="5" t="s">
        <v>337</v>
      </c>
      <c r="K67" s="5" t="s">
        <v>341</v>
      </c>
      <c r="L67" s="50" t="s">
        <v>7</v>
      </c>
      <c r="Q67" s="25" t="s">
        <v>7</v>
      </c>
    </row>
    <row r="68" spans="1:17" x14ac:dyDescent="0.2">
      <c r="E68" s="198"/>
      <c r="L68" s="50"/>
      <c r="Q68" s="25"/>
    </row>
    <row r="69" spans="1:17" x14ac:dyDescent="0.2">
      <c r="A69" s="5" t="s">
        <v>336</v>
      </c>
      <c r="B69" s="5" t="s">
        <v>338</v>
      </c>
      <c r="C69" s="224" t="s">
        <v>618</v>
      </c>
      <c r="D69" s="5" t="s">
        <v>335</v>
      </c>
      <c r="E69" s="5" t="s">
        <v>367</v>
      </c>
      <c r="F69" s="25">
        <v>1</v>
      </c>
      <c r="G69" s="25" t="s">
        <v>387</v>
      </c>
      <c r="H69" s="5" t="s">
        <v>388</v>
      </c>
      <c r="I69" s="50" t="s">
        <v>7</v>
      </c>
      <c r="J69" s="5" t="s">
        <v>364</v>
      </c>
      <c r="K69" s="5" t="s">
        <v>393</v>
      </c>
      <c r="L69" s="50" t="s">
        <v>7</v>
      </c>
    </row>
    <row r="70" spans="1:17" x14ac:dyDescent="0.2">
      <c r="E70" s="5" t="s">
        <v>737</v>
      </c>
      <c r="F70" s="25">
        <v>1</v>
      </c>
      <c r="G70" s="25" t="s">
        <v>387</v>
      </c>
      <c r="H70" s="5" t="s">
        <v>388</v>
      </c>
      <c r="I70" s="50"/>
      <c r="J70" s="5" t="s">
        <v>364</v>
      </c>
      <c r="K70" s="5" t="s">
        <v>393</v>
      </c>
      <c r="L70" s="50" t="s">
        <v>7</v>
      </c>
    </row>
    <row r="71" spans="1:17" x14ac:dyDescent="0.2">
      <c r="E71" s="5" t="s">
        <v>624</v>
      </c>
      <c r="F71" s="25">
        <v>1</v>
      </c>
      <c r="G71" s="25" t="s">
        <v>387</v>
      </c>
      <c r="H71" s="5" t="s">
        <v>388</v>
      </c>
      <c r="I71" s="50"/>
      <c r="J71" s="5" t="s">
        <v>364</v>
      </c>
      <c r="K71" s="5" t="s">
        <v>393</v>
      </c>
      <c r="L71" s="50" t="s">
        <v>7</v>
      </c>
    </row>
    <row r="72" spans="1:17" x14ac:dyDescent="0.2">
      <c r="E72" s="5" t="s">
        <v>625</v>
      </c>
      <c r="F72" s="25">
        <v>1</v>
      </c>
      <c r="G72" s="25" t="s">
        <v>387</v>
      </c>
      <c r="H72" s="5" t="s">
        <v>388</v>
      </c>
      <c r="I72" s="50"/>
      <c r="J72" s="5" t="s">
        <v>364</v>
      </c>
      <c r="K72" s="5" t="s">
        <v>393</v>
      </c>
      <c r="L72" s="50" t="s">
        <v>7</v>
      </c>
    </row>
    <row r="73" spans="1:17" x14ac:dyDescent="0.2">
      <c r="A73" s="5" t="s">
        <v>735</v>
      </c>
      <c r="E73" s="5" t="s">
        <v>367</v>
      </c>
      <c r="F73" s="25">
        <v>1</v>
      </c>
      <c r="G73" s="25" t="s">
        <v>387</v>
      </c>
      <c r="H73" s="5" t="s">
        <v>388</v>
      </c>
      <c r="I73" s="50"/>
      <c r="J73" s="5" t="s">
        <v>736</v>
      </c>
      <c r="L73" s="50" t="s">
        <v>7</v>
      </c>
    </row>
    <row r="74" spans="1:17" x14ac:dyDescent="0.2">
      <c r="E74" s="5" t="s">
        <v>737</v>
      </c>
      <c r="F74" s="25">
        <v>1</v>
      </c>
      <c r="G74" s="25" t="s">
        <v>387</v>
      </c>
      <c r="H74" s="5" t="s">
        <v>388</v>
      </c>
      <c r="I74" s="50"/>
      <c r="J74" s="5" t="s">
        <v>736</v>
      </c>
      <c r="L74" s="50" t="s">
        <v>7</v>
      </c>
    </row>
    <row r="75" spans="1:17" x14ac:dyDescent="0.2">
      <c r="E75" s="5" t="s">
        <v>624</v>
      </c>
      <c r="F75" s="25">
        <v>1</v>
      </c>
      <c r="G75" s="25" t="s">
        <v>387</v>
      </c>
      <c r="H75" s="5" t="s">
        <v>388</v>
      </c>
      <c r="I75" s="50"/>
      <c r="J75" s="5" t="s">
        <v>736</v>
      </c>
      <c r="L75" s="50" t="s">
        <v>7</v>
      </c>
    </row>
    <row r="76" spans="1:17" x14ac:dyDescent="0.2">
      <c r="E76" s="5" t="s">
        <v>625</v>
      </c>
      <c r="F76" s="25">
        <v>1</v>
      </c>
      <c r="G76" s="25" t="s">
        <v>387</v>
      </c>
      <c r="H76" s="5" t="s">
        <v>388</v>
      </c>
      <c r="I76" s="50"/>
      <c r="J76" s="5" t="s">
        <v>736</v>
      </c>
      <c r="L76" s="50" t="s">
        <v>7</v>
      </c>
    </row>
    <row r="78" spans="1:17" x14ac:dyDescent="0.2">
      <c r="A78" s="5" t="s">
        <v>336</v>
      </c>
      <c r="B78" s="5" t="s">
        <v>525</v>
      </c>
      <c r="C78" s="8" t="s">
        <v>619</v>
      </c>
      <c r="D78" s="5" t="s">
        <v>335</v>
      </c>
      <c r="E78" s="5" t="s">
        <v>367</v>
      </c>
      <c r="H78" s="5" t="s">
        <v>620</v>
      </c>
    </row>
    <row r="79" spans="1:17" x14ac:dyDescent="0.2">
      <c r="E79" s="5" t="s">
        <v>329</v>
      </c>
      <c r="H79" s="5" t="s">
        <v>621</v>
      </c>
    </row>
    <row r="80" spans="1:17" x14ac:dyDescent="0.2">
      <c r="E80" s="5" t="s">
        <v>367</v>
      </c>
      <c r="H80" s="5" t="s">
        <v>622</v>
      </c>
    </row>
    <row r="81" spans="1:17" x14ac:dyDescent="0.2">
      <c r="E81" s="5" t="s">
        <v>329</v>
      </c>
      <c r="H81" s="5" t="s">
        <v>623</v>
      </c>
    </row>
    <row r="83" spans="1:17" x14ac:dyDescent="0.2">
      <c r="A83" s="5" t="s">
        <v>336</v>
      </c>
      <c r="B83" s="5" t="s">
        <v>338</v>
      </c>
      <c r="C83" s="8" t="s">
        <v>634</v>
      </c>
      <c r="D83" s="5" t="s">
        <v>335</v>
      </c>
      <c r="E83" s="5" t="s">
        <v>367</v>
      </c>
      <c r="F83" s="25">
        <v>1</v>
      </c>
      <c r="G83" s="25">
        <v>50</v>
      </c>
      <c r="H83" s="5" t="s">
        <v>449</v>
      </c>
      <c r="I83" s="25" t="s">
        <v>7</v>
      </c>
      <c r="J83" s="5" t="s">
        <v>639</v>
      </c>
      <c r="L83" s="50" t="s">
        <v>7</v>
      </c>
    </row>
    <row r="84" spans="1:17" x14ac:dyDescent="0.2">
      <c r="G84" s="25">
        <v>50</v>
      </c>
      <c r="H84" s="5" t="s">
        <v>633</v>
      </c>
      <c r="I84" s="50" t="s">
        <v>7</v>
      </c>
      <c r="J84" s="5" t="s">
        <v>364</v>
      </c>
      <c r="L84" s="50" t="s">
        <v>7</v>
      </c>
    </row>
    <row r="85" spans="1:17" x14ac:dyDescent="0.2">
      <c r="G85" s="214">
        <v>200</v>
      </c>
      <c r="H85" s="215" t="s">
        <v>449</v>
      </c>
      <c r="I85" s="214"/>
      <c r="J85" s="215" t="s">
        <v>636</v>
      </c>
      <c r="L85" s="25" t="s">
        <v>601</v>
      </c>
    </row>
    <row r="86" spans="1:17" x14ac:dyDescent="0.2">
      <c r="G86" s="214">
        <v>200</v>
      </c>
      <c r="H86" s="215" t="s">
        <v>633</v>
      </c>
      <c r="I86" s="214"/>
      <c r="J86" s="215" t="s">
        <v>364</v>
      </c>
      <c r="L86" s="25" t="s">
        <v>601</v>
      </c>
    </row>
    <row r="87" spans="1:17" x14ac:dyDescent="0.2">
      <c r="G87" s="214">
        <v>300</v>
      </c>
      <c r="H87" s="215" t="s">
        <v>449</v>
      </c>
      <c r="I87" s="214"/>
      <c r="J87" s="215" t="s">
        <v>637</v>
      </c>
      <c r="L87" s="25" t="s">
        <v>601</v>
      </c>
    </row>
    <row r="88" spans="1:17" x14ac:dyDescent="0.2">
      <c r="G88" s="214">
        <v>300</v>
      </c>
      <c r="H88" s="215" t="s">
        <v>633</v>
      </c>
      <c r="I88" s="214"/>
      <c r="J88" s="215" t="s">
        <v>364</v>
      </c>
      <c r="L88" s="25" t="s">
        <v>601</v>
      </c>
    </row>
    <row r="89" spans="1:17" x14ac:dyDescent="0.2">
      <c r="G89" s="214">
        <v>400</v>
      </c>
      <c r="H89" s="215" t="s">
        <v>449</v>
      </c>
      <c r="I89" s="214"/>
      <c r="J89" s="215" t="s">
        <v>638</v>
      </c>
      <c r="L89" s="25" t="s">
        <v>601</v>
      </c>
    </row>
    <row r="90" spans="1:17" x14ac:dyDescent="0.2">
      <c r="G90" s="214">
        <v>400</v>
      </c>
      <c r="H90" s="215" t="s">
        <v>633</v>
      </c>
      <c r="I90" s="214"/>
      <c r="J90" s="215" t="s">
        <v>364</v>
      </c>
      <c r="L90" s="25" t="s">
        <v>601</v>
      </c>
    </row>
    <row r="91" spans="1:17" x14ac:dyDescent="0.2">
      <c r="L91" s="25"/>
    </row>
    <row r="92" spans="1:17" x14ac:dyDescent="0.2">
      <c r="A92" s="5" t="s">
        <v>336</v>
      </c>
      <c r="B92" s="5" t="s">
        <v>338</v>
      </c>
      <c r="C92" s="8" t="s">
        <v>656</v>
      </c>
      <c r="D92" s="5" t="s">
        <v>335</v>
      </c>
      <c r="E92" s="5" t="s">
        <v>367</v>
      </c>
      <c r="F92" s="25">
        <v>1</v>
      </c>
      <c r="G92" s="25">
        <v>200</v>
      </c>
      <c r="H92" s="5" t="s">
        <v>633</v>
      </c>
      <c r="J92" s="5" t="s">
        <v>364</v>
      </c>
      <c r="K92" s="5" t="s">
        <v>657</v>
      </c>
      <c r="L92" s="50" t="s">
        <v>7</v>
      </c>
    </row>
    <row r="93" spans="1:17" x14ac:dyDescent="0.2">
      <c r="E93" s="5" t="s">
        <v>367</v>
      </c>
      <c r="G93" s="25">
        <v>100</v>
      </c>
      <c r="H93" s="5" t="s">
        <v>633</v>
      </c>
      <c r="J93" s="5" t="s">
        <v>364</v>
      </c>
      <c r="K93" s="5" t="s">
        <v>657</v>
      </c>
      <c r="L93" s="50" t="s">
        <v>7</v>
      </c>
      <c r="Q93" s="50" t="s">
        <v>7</v>
      </c>
    </row>
    <row r="94" spans="1:17" x14ac:dyDescent="0.2">
      <c r="E94" s="5" t="s">
        <v>367</v>
      </c>
      <c r="G94" s="25">
        <v>50</v>
      </c>
      <c r="H94" s="5" t="s">
        <v>633</v>
      </c>
      <c r="J94" s="5" t="s">
        <v>364</v>
      </c>
      <c r="K94" s="5" t="s">
        <v>657</v>
      </c>
      <c r="L94" s="50" t="s">
        <v>7</v>
      </c>
    </row>
    <row r="95" spans="1:17" x14ac:dyDescent="0.2">
      <c r="E95" s="5" t="s">
        <v>367</v>
      </c>
      <c r="G95" s="25">
        <v>50</v>
      </c>
      <c r="H95" s="5" t="s">
        <v>633</v>
      </c>
      <c r="J95" s="5" t="s">
        <v>364</v>
      </c>
      <c r="K95" s="5" t="s">
        <v>657</v>
      </c>
      <c r="L95" s="50" t="s">
        <v>7</v>
      </c>
    </row>
    <row r="96" spans="1:17" x14ac:dyDescent="0.2">
      <c r="E96" s="5" t="s">
        <v>329</v>
      </c>
      <c r="G96" s="25">
        <v>50</v>
      </c>
      <c r="H96" s="5" t="s">
        <v>633</v>
      </c>
      <c r="J96" s="5" t="s">
        <v>364</v>
      </c>
      <c r="K96" s="5" t="s">
        <v>657</v>
      </c>
      <c r="L96" s="50" t="s">
        <v>7</v>
      </c>
    </row>
    <row r="97" spans="1:16" x14ac:dyDescent="0.2">
      <c r="E97" s="5" t="s">
        <v>367</v>
      </c>
      <c r="G97" s="25">
        <v>200</v>
      </c>
      <c r="H97" s="5" t="s">
        <v>675</v>
      </c>
      <c r="J97" s="5" t="s">
        <v>364</v>
      </c>
      <c r="K97" s="5" t="s">
        <v>676</v>
      </c>
      <c r="L97" s="50" t="s">
        <v>7</v>
      </c>
    </row>
    <row r="98" spans="1:16" x14ac:dyDescent="0.2">
      <c r="E98" s="5" t="s">
        <v>367</v>
      </c>
      <c r="G98" s="25">
        <v>200</v>
      </c>
      <c r="H98" s="5" t="s">
        <v>659</v>
      </c>
      <c r="J98" s="5" t="s">
        <v>364</v>
      </c>
      <c r="K98" s="5" t="s">
        <v>341</v>
      </c>
      <c r="L98" s="50" t="s">
        <v>7</v>
      </c>
    </row>
    <row r="99" spans="1:16" x14ac:dyDescent="0.2">
      <c r="E99" s="5" t="s">
        <v>367</v>
      </c>
      <c r="G99" s="25">
        <v>200</v>
      </c>
      <c r="H99" s="5" t="s">
        <v>658</v>
      </c>
      <c r="I99" s="50" t="s">
        <v>7</v>
      </c>
      <c r="J99" s="5" t="s">
        <v>364</v>
      </c>
      <c r="K99" s="5" t="s">
        <v>341</v>
      </c>
      <c r="L99" s="50" t="s">
        <v>7</v>
      </c>
    </row>
    <row r="100" spans="1:16" x14ac:dyDescent="0.2">
      <c r="E100" s="5" t="s">
        <v>367</v>
      </c>
      <c r="G100" s="25">
        <v>200</v>
      </c>
      <c r="H100" s="5" t="s">
        <v>647</v>
      </c>
      <c r="I100" s="50" t="s">
        <v>7</v>
      </c>
      <c r="J100" s="5" t="s">
        <v>337</v>
      </c>
      <c r="K100" s="5" t="s">
        <v>341</v>
      </c>
      <c r="L100" s="50" t="s">
        <v>7</v>
      </c>
    </row>
    <row r="102" spans="1:16" x14ac:dyDescent="0.2">
      <c r="A102" s="5" t="s">
        <v>149</v>
      </c>
      <c r="B102" s="5" t="s">
        <v>338</v>
      </c>
      <c r="C102" s="8" t="s">
        <v>707</v>
      </c>
      <c r="D102" s="5" t="s">
        <v>335</v>
      </c>
      <c r="E102" s="5" t="s">
        <v>367</v>
      </c>
      <c r="G102" s="25">
        <v>50</v>
      </c>
      <c r="J102" s="5" t="s">
        <v>337</v>
      </c>
      <c r="L102" s="50" t="s">
        <v>7</v>
      </c>
    </row>
    <row r="103" spans="1:16" x14ac:dyDescent="0.2">
      <c r="A103" s="5" t="s">
        <v>708</v>
      </c>
      <c r="E103" s="5" t="s">
        <v>367</v>
      </c>
      <c r="G103" s="25" t="s">
        <v>709</v>
      </c>
      <c r="J103" s="5" t="s">
        <v>711</v>
      </c>
      <c r="K103" s="5" t="s">
        <v>716</v>
      </c>
      <c r="L103" s="50" t="s">
        <v>7</v>
      </c>
    </row>
    <row r="104" spans="1:16" x14ac:dyDescent="0.2">
      <c r="A104" s="5" t="s">
        <v>336</v>
      </c>
      <c r="E104" s="5" t="s">
        <v>367</v>
      </c>
      <c r="G104" s="25">
        <v>100</v>
      </c>
      <c r="H104" s="5" t="s">
        <v>642</v>
      </c>
      <c r="I104" s="50" t="s">
        <v>7</v>
      </c>
      <c r="J104" s="5" t="s">
        <v>364</v>
      </c>
      <c r="K104" s="5" t="s">
        <v>715</v>
      </c>
      <c r="L104" s="50" t="s">
        <v>7</v>
      </c>
    </row>
    <row r="105" spans="1:16" x14ac:dyDescent="0.2">
      <c r="A105" s="5" t="s">
        <v>708</v>
      </c>
      <c r="E105" s="5" t="s">
        <v>367</v>
      </c>
      <c r="G105" s="25" t="s">
        <v>710</v>
      </c>
      <c r="H105" s="5" t="s">
        <v>714</v>
      </c>
      <c r="J105" s="5" t="s">
        <v>712</v>
      </c>
      <c r="K105" s="5" t="s">
        <v>713</v>
      </c>
      <c r="L105" s="50" t="s">
        <v>7</v>
      </c>
    </row>
    <row r="107" spans="1:16" x14ac:dyDescent="0.2">
      <c r="A107" s="5" t="s">
        <v>336</v>
      </c>
      <c r="B107" s="5" t="s">
        <v>727</v>
      </c>
      <c r="C107" s="224" t="s">
        <v>538</v>
      </c>
      <c r="H107" s="5" t="s">
        <v>728</v>
      </c>
      <c r="P107" s="5" t="s">
        <v>7</v>
      </c>
    </row>
    <row r="109" spans="1:16" x14ac:dyDescent="0.2">
      <c r="A109" s="5" t="s">
        <v>149</v>
      </c>
      <c r="C109" s="8" t="s">
        <v>779</v>
      </c>
      <c r="D109" s="5" t="s">
        <v>335</v>
      </c>
      <c r="E109" s="5" t="s">
        <v>367</v>
      </c>
      <c r="G109" s="25" t="s">
        <v>780</v>
      </c>
      <c r="H109" s="5" t="s">
        <v>781</v>
      </c>
      <c r="J109" s="5" t="s">
        <v>711</v>
      </c>
      <c r="L109" s="50" t="s">
        <v>7</v>
      </c>
    </row>
    <row r="110" spans="1:16" x14ac:dyDescent="0.2">
      <c r="A110" s="5" t="s">
        <v>784</v>
      </c>
      <c r="E110" s="5" t="s">
        <v>367</v>
      </c>
      <c r="G110" s="25" t="s">
        <v>780</v>
      </c>
      <c r="H110" s="5" t="s">
        <v>781</v>
      </c>
      <c r="J110" s="5" t="s">
        <v>711</v>
      </c>
      <c r="L110" s="50" t="s">
        <v>7</v>
      </c>
    </row>
  </sheetData>
  <mergeCells count="1">
    <mergeCell ref="H4:I4"/>
  </mergeCells>
  <hyperlinks>
    <hyperlink ref="N5" location="Drug_properties" display="x"/>
    <hyperlink ref="I6" location="DF_800561" display="x"/>
    <hyperlink ref="N5:N8" location="Compound!A1" display="x"/>
    <hyperlink ref="O5" location="Physio_900738" display="x"/>
    <hyperlink ref="P5" location="PKparam_900738" display="x"/>
    <hyperlink ref="R6" location="'G-plus-results'!Sim_001" display="X"/>
    <hyperlink ref="I7" location="DF_IntelliCap_25619" display="x"/>
    <hyperlink ref="I8" location="DF_IntelliCap_25619" display="x"/>
    <hyperlink ref="I9" location="DF_IntelliCap_25619" display="x"/>
    <hyperlink ref="I10" location="DF_sol_25619" display="x"/>
    <hyperlink ref="L7" location="Mean_Cp_Soederlind2015_c" display="x"/>
    <hyperlink ref="L8" location="Mean_Cp_Soederlind2015_d" display="x"/>
    <hyperlink ref="L9" location="Mean_Cp_Soederlind2015_e" display="x"/>
    <hyperlink ref="L10" location="Mean_Cp_Soederlind2015_b" display="x"/>
    <hyperlink ref="L11" location="Mean_Cp_Goodbillon1985a" display="x"/>
    <hyperlink ref="L12" location="Mean_Cp_Goodbillon1985b" display="x"/>
    <hyperlink ref="L13" location="Mean_Cp_Kendall1982_MR" display="x"/>
    <hyperlink ref="L14" location="Mean_Cp_Kendall1982_OROS" display="x"/>
    <hyperlink ref="L15" location="Mean_Cp_Kendall1982_MR_8" display="x"/>
    <hyperlink ref="L16" location="Mean_Cp_Kendall1982_OROS_8" display="x"/>
    <hyperlink ref="L17" location="Mean_Cp_Regardh1974_iv" display="x"/>
    <hyperlink ref="L18" location="Mean_Cp_Regardh1974_po" display="x"/>
    <hyperlink ref="M7" location="Ind_Cp_Söderlind2015_A" display="x"/>
    <hyperlink ref="M8" location="Ind_Cp_Söderlind2015_B" display="x"/>
    <hyperlink ref="M9" location="Ind_Cp_Söderlind2015_C" display="x"/>
    <hyperlink ref="M10" location="Ind_Cp_Söderlind2015_D" display="x"/>
    <hyperlink ref="L19" location="Mean_Cp_Regardh1974_iv_metab" display="x"/>
    <hyperlink ref="L20" location="Mean_Cp_Regardh1974_po_metab" display="x"/>
    <hyperlink ref="L27" location="Mean_Cp_Regardh1980_iv" display="x"/>
    <hyperlink ref="L28" location="Mean_Cp_Regardh1980_iv_multiple" display="x"/>
    <hyperlink ref="L36" location="Mean_Cp_Al_Saidan2004_IR" display="x"/>
    <hyperlink ref="L29" location="Mean_Cp_Regardh1975_IR" display="x"/>
    <hyperlink ref="L30" location="Mean_Cp_Regardh1975_MR" display="x"/>
    <hyperlink ref="L33" location="Mean_Cp_Nyberg2007_jejunum" display="x"/>
    <hyperlink ref="L34" location="Mean_Cp_Nyberg2007_illeum" display="x"/>
    <hyperlink ref="L35" location="Mean_Cp_Nyberg2007_colon" display="x"/>
    <hyperlink ref="L37" location="Mean_Cp_Eddingtion1998_solution" display="x"/>
    <hyperlink ref="L38" location="Mean_Cp_Eddingtion1998_SR_fast" display="x"/>
    <hyperlink ref="L39" location="Mean_Cp_Eddingtion1998_SR_medium" display="x"/>
    <hyperlink ref="L40" location="Mean_Cp_Eddingtion1998_SR_slow" display="x"/>
    <hyperlink ref="L42" location="Mean_Cp_Grainger1985_IR" display="x"/>
    <hyperlink ref="L43" location="Mean_Cp_Grainger1985_OROS" display="x"/>
    <hyperlink ref="L23" location="Mean_Cp_Masaoka2006_jejunum" display="x"/>
    <hyperlink ref="L47" location="Mean_Cp_Kerkhof2014" display="x"/>
    <hyperlink ref="Q38" location="Diss_Eddingtion1998_fast" display="x"/>
    <hyperlink ref="Q39" location="Diss_Eddingtion1998_moderate" display="x"/>
    <hyperlink ref="Q40" location="Diss_Eddingtion1998_slow" display="x"/>
    <hyperlink ref="Q7" location="Diss_Söderlind2015_A" display="x"/>
    <hyperlink ref="Q8" location="Diss_Söderlind2015_B" display="x"/>
    <hyperlink ref="Q9" location="Diss_Söderlind2015_C" display="x"/>
    <hyperlink ref="I5" location="Compound!A1" display="x"/>
    <hyperlink ref="Q36" location="Diss_Al_Saidan2004_tab" display="x"/>
    <hyperlink ref="L61" location="Mean_Cp_Albin1993_MR" display="x"/>
    <hyperlink ref="L62" location="Mean_Cp_Albin1993_DS" display="x"/>
    <hyperlink ref="L49" location="Mean_Cp_Borg1975_iv_0_5mg" display="x"/>
    <hyperlink ref="L50" location="Mean_Cp_Borg1975_po_0_5mg" display="x"/>
    <hyperlink ref="L52" location="Mean_Cp_Borg1975_po_2mg" display="x"/>
    <hyperlink ref="L54" location="Mean_Cp_Borg1975_iv_0_5mg_SS" display="x"/>
    <hyperlink ref="L65" location="Mean_Cp_Löbenberg2005_po_pulsed" display="x"/>
    <hyperlink ref="L64" location="Mean_Cp_Löbenberg2005_iv" display="x"/>
    <hyperlink ref="L66" location="Mean_Cp_Löbenberg2005_po_MR" display="x"/>
    <hyperlink ref="L67" location="Mean_Cp_Löbenberg2005_po_IR" display="x"/>
    <hyperlink ref="L69" location="Mean_Cp_Lecaillon1985_fast" display="x"/>
    <hyperlink ref="L70" location="Mean_Cp_Lecaillon1985_fed_B" display="x"/>
    <hyperlink ref="L83" location="Mean_Cp_Abrahamsson1990_fast_IR" display="x"/>
    <hyperlink ref="L84" location="Mean_Cp_Abrahamsson1990_fast_MR" display="x"/>
    <hyperlink ref="L92" location="Mean_Cp_Sandberg1988_200_ZOK" display="x"/>
    <hyperlink ref="L93" location="Mean_Cp_Sandberg1988_100_ZOK" display="x"/>
    <hyperlink ref="L94" location="Mean_Cp_Sandberg1988_50_ZOK" display="x"/>
    <hyperlink ref="L97" location="Mean_Cp_Sandberg1988_200_Sel" display="x"/>
    <hyperlink ref="L98" location="Mean_Cp_Sandberg1988_200_Prelis" display="x"/>
    <hyperlink ref="L99" location="Mean_Cp_Sandberg1988_200_SR" display="x"/>
    <hyperlink ref="L100" location="Mean_Cp_Sandberg1988_200_IR" display="x"/>
    <hyperlink ref="Q93" location="Diss_Sandberg1988_ZOC" display="x"/>
    <hyperlink ref="L96" location="Mean_Cp_Sandberg1988_50_ZOK_fed" display="x"/>
    <hyperlink ref="L95" location="Mean_Cp_Sandberg1988_50_ZOK" display="x"/>
    <hyperlink ref="L102" location="Mean_CP_Stout2011_MetoIR" display="x"/>
    <hyperlink ref="L103" location="Mean_CP_Stout2011_MetoIRParIR" display="x"/>
    <hyperlink ref="L104" location="Mean_CP_Stout2011_MetoER" display="x"/>
    <hyperlink ref="L105" location="Mean_CP_Stout2011_MetoeRParIR" display="x"/>
    <hyperlink ref="M61" location="Ind_Cp_Albin1993_MR" display="x"/>
    <hyperlink ref="M62" location="Ind_Cp_Albin1993_IR" display="x"/>
    <hyperlink ref="I42" location="DF_Lopressor_Tab_IR" display="x"/>
    <hyperlink ref="I43" location="DF_Lopressor_OROS" display="x"/>
    <hyperlink ref="I104" location="DF_Toprol_XL_OROS" display="x"/>
    <hyperlink ref="I69" location="DF_Lopressor_OROS" display="x"/>
    <hyperlink ref="I11" location="DF_Lopressor_OROS" display="x"/>
    <hyperlink ref="I12" location="DF_Lopressor_OROS" display="x"/>
    <hyperlink ref="I14" location="DF_Lopressor_OROS" display="x"/>
    <hyperlink ref="I16" location="DF_Lopressor_OROS" display="x"/>
    <hyperlink ref="I13" location="DF_Lopressor_SR" display="x"/>
    <hyperlink ref="I15" location="DF_Lopressor_SR" display="x"/>
    <hyperlink ref="I61" location="DF_Lopressor_SR" display="x"/>
    <hyperlink ref="I99" location="DF_Lopressor_SR" display="x"/>
    <hyperlink ref="I100" location="DF_Lopressor_Tab_IR" display="x"/>
    <hyperlink ref="L71" location="Mean_Cp_Lecaillon1985_fed_L" display="x"/>
    <hyperlink ref="L73" location="Mean_Cp_Lecaillon1985_fed_M_B" display="x"/>
    <hyperlink ref="L74" location="Mean_Cp_Lecaillon1985_fed_M_B" display="x"/>
    <hyperlink ref="L75" location="Mean_Cp_Lecaillon1985_fed_M_L" display="x"/>
    <hyperlink ref="L76" location="Mean_Cp_Lecaillon1985_fed_D" display="x"/>
    <hyperlink ref="I84" location="DF_Beloc_ZOC" display="x"/>
    <hyperlink ref="L109" location="Mean_Cp_Gao2010_Meto" display="x"/>
    <hyperlink ref="L110" location="Mean_Cp_Gao2010_HCT" display="x"/>
    <hyperlink ref="B1" r:id="rId1"/>
  </hyperlinks>
  <pageMargins left="0.7" right="0.7" top="0.75" bottom="0.75" header="0.3" footer="0.3"/>
  <pageSetup paperSize="9" orientation="portrait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Y187"/>
  <sheetViews>
    <sheetView zoomScale="95" zoomScaleNormal="95" workbookViewId="0">
      <pane xSplit="1" topLeftCell="B1" activePane="topRight" state="frozen"/>
      <selection activeCell="A13" sqref="A13"/>
      <selection pane="topRight" activeCell="N4" sqref="N4"/>
    </sheetView>
  </sheetViews>
  <sheetFormatPr defaultRowHeight="14.25" x14ac:dyDescent="0.2"/>
  <cols>
    <col min="1" max="110" width="10.625" customWidth="1"/>
    <col min="239" max="239" width="9.375" bestFit="1" customWidth="1"/>
    <col min="247" max="247" width="9.375" bestFit="1" customWidth="1"/>
    <col min="251" max="251" width="9.375" bestFit="1" customWidth="1"/>
  </cols>
  <sheetData>
    <row r="1" spans="1:282" ht="15" x14ac:dyDescent="0.25">
      <c r="A1" s="3" t="s">
        <v>15</v>
      </c>
    </row>
    <row r="2" spans="1:282" ht="15" x14ac:dyDescent="0.25">
      <c r="A2" s="3"/>
      <c r="B2" s="28"/>
      <c r="K2" s="28"/>
      <c r="T2" s="28"/>
      <c r="U2" s="28"/>
      <c r="EP2" s="8"/>
    </row>
    <row r="3" spans="1:282" ht="15" x14ac:dyDescent="0.25">
      <c r="A3" s="58" t="s">
        <v>35</v>
      </c>
      <c r="B3" s="37" t="str">
        <f>HYPERLINK(Path&amp;"1-s2.0-S0168365915301255-main-Soederlind2015-metoprolol-IntelliCap.pdf", "Söderlind2015")</f>
        <v>Söderlind2015</v>
      </c>
      <c r="C3" s="53"/>
      <c r="D3" s="3"/>
      <c r="E3" s="3"/>
      <c r="K3" s="15"/>
      <c r="L3" s="37"/>
      <c r="M3" s="37"/>
      <c r="R3" s="37" t="str">
        <f>HYPERLINK(Path&amp;"j.1365-2125.1985.tb02765.x.pdf", "Godbillon1985")</f>
        <v>Godbillon1985</v>
      </c>
      <c r="V3" s="15"/>
      <c r="W3" s="43"/>
      <c r="Z3" s="37" t="str">
        <f>HYPERLINK(Path&amp;"j.1365-2125.1982.tb01391.x.pdf", "Kendall1982")</f>
        <v>Kendall1982</v>
      </c>
      <c r="AP3" s="37" t="str">
        <f>HYPERLINK(Path&amp;"art_10.1007_BF01061407.pdf", "Regardh1974")</f>
        <v>Regardh1974</v>
      </c>
      <c r="BF3" s="37" t="str">
        <f>HYPERLINK(Path&amp;"Regardh1980-metoprolol-iv.pdf", "Regardh1980")</f>
        <v>Regardh1980</v>
      </c>
      <c r="BN3" s="37" t="str">
        <f>HYPERLINK(Path&amp;"j.1600-0773.1975.tb03321.x-Regardh1975-IR-MR-human.pdf", "Regardh1975")</f>
        <v>Regardh1975</v>
      </c>
      <c r="BV3" s="37" t="str">
        <f>HYPERLINK(Path&amp;"Al-Saidan_Pharmacokinetic-evaluation-of-guar-gum-based-three-layer-matrix-tablets-for-oral-controlled-delivery-of-highly-soluble-metoprolol-tartrate-as-a-model-drug_2004.pdf", "Al_Saidan2004")</f>
        <v>Al_Saidan2004</v>
      </c>
      <c r="BZ3" s="37" t="str">
        <f>HYPERLINK(Path&amp;"1-s2.0-S0928098707000243-main-Nyberg2007.pdf", "Nyberg2007")</f>
        <v>Nyberg2007</v>
      </c>
      <c r="CL3" s="37" t="str">
        <f>HYPERLINK(Path&amp;"[first_author]_The-influence-of-first-pass-metabolism-on-the-development-and-validation-of-an-IVIVC-for-metoprolol-extended-release-tablets_2002.pdf", "Sirisuth2002")</f>
        <v>Sirisuth2002</v>
      </c>
      <c r="DB3" s="37" t="str">
        <f>HYPERLINK(Path&amp;"j.1365-2125.1985.tb02769.x-Grainger1985.pdf", "Grainger1985")</f>
        <v>Grainger1985</v>
      </c>
      <c r="DR3" s="37" t="str">
        <f>HYPERLINK(Path&amp;"Masaoka et al. - 2006 - Site of drug absorption after oral administration assessment of membrane permeability and luminal concentration.pdf", "Masaoka2006")</f>
        <v>Masaoka2006</v>
      </c>
      <c r="ED3" s="37" t="str">
        <f>HYPERLINK(Path&amp;"crs14_intellicap_fr.pdf", "Kerkhof2014")</f>
        <v>Kerkhof2014</v>
      </c>
      <c r="EH3" s="37" t="str">
        <f>HYPERLINK(Path&amp;"[first_author]_A-new-slow-release-formulation-of-metoprolol-in-vitro-and-in-vivo-evaluation-in-dogs_1993.pdf", "Albin1993")</f>
        <v>Albin1993</v>
      </c>
      <c r="EP3" s="37" t="str">
        <f>HYPERLINK(Path&amp;"Borg et al. - 1975 - Pharmacokinetic studies of metoprolol (3H) in the rat and the dog.pdf", "Borg1975")</f>
        <v>Borg1975</v>
      </c>
      <c r="FN3" s="37" t="str">
        <f>HYPERLINK(Path&amp;"Löbenberg_Pharmacokinetics-of-an-immediate-release,-a-controlled-release-and-a-two-pulse-dosage-form-in-dogs_2005.pdf","Löbenberg2005")</f>
        <v>Löbenberg2005</v>
      </c>
      <c r="FR3" s="5" t="s">
        <v>592</v>
      </c>
      <c r="GD3" s="37" t="str">
        <f>HYPERLINK(Path&amp;"Lecaillon et al. - 1985 - Influence of food on the absorption of metoprolol administered as an Oros drug delivery system to man.pdf","Lecaillon1985")</f>
        <v>Lecaillon1985</v>
      </c>
      <c r="HJ3" s="37" t="str">
        <f>HYPERLINK(Path&amp;"j.1552-4604.1990.tb03495.x-Abrahamsson1990.pdf","Abrahamsson1990")</f>
        <v>Abrahamsson1990</v>
      </c>
      <c r="HR3" s="37" t="str">
        <f>HYPERLINK(Path&amp;"art_10.1007_BF00578405-Sandberg1988-metoprolol.pdf","Sandberg1988")</f>
        <v>Sandberg1988</v>
      </c>
      <c r="JB3" s="37" t="str">
        <f>HYPERLINK(Path&amp;"nihms222512-Stout2011-metoprolol.pdf","Stout2011")</f>
        <v>Stout2011</v>
      </c>
      <c r="JR3" s="37" t="str">
        <f>HYPERLINK(Path&amp;"1-s2.0-S0731708509007559-main-Gao2010-HCT-Metoprolol-PK-.pdff","Gao2010")</f>
        <v>Gao2010</v>
      </c>
    </row>
    <row r="4" spans="1:282" ht="15" x14ac:dyDescent="0.25">
      <c r="A4" s="59" t="s">
        <v>117</v>
      </c>
      <c r="B4" s="37"/>
      <c r="C4" s="54"/>
      <c r="K4" s="1"/>
      <c r="L4" s="38"/>
      <c r="M4" s="38"/>
      <c r="V4" s="1"/>
      <c r="W4" s="38"/>
      <c r="FR4" s="5" t="s">
        <v>591</v>
      </c>
    </row>
    <row r="5" spans="1:282" ht="15" x14ac:dyDescent="0.25">
      <c r="A5" s="58" t="s">
        <v>118</v>
      </c>
      <c r="B5" s="37"/>
      <c r="C5" s="22"/>
      <c r="K5" s="13"/>
      <c r="L5" s="28"/>
      <c r="M5" s="28"/>
      <c r="V5" s="13"/>
      <c r="W5" s="38"/>
      <c r="CL5" s="37" t="str">
        <f>HYPERLINK(Path&amp;"art_10.1023_A_1011988601696-Eddington1998-metoprolol.pdf", "Eddingtion1998")</f>
        <v>Eddingtion1998</v>
      </c>
      <c r="FR5" s="5" t="s">
        <v>593</v>
      </c>
    </row>
    <row r="6" spans="1:282" ht="15" x14ac:dyDescent="0.25">
      <c r="A6" s="59" t="s">
        <v>119</v>
      </c>
      <c r="B6" s="37"/>
      <c r="C6" s="54"/>
      <c r="K6" s="13"/>
      <c r="L6" s="28"/>
      <c r="M6" s="28"/>
      <c r="V6" s="13"/>
      <c r="W6" s="38"/>
    </row>
    <row r="7" spans="1:282" ht="15" x14ac:dyDescent="0.25">
      <c r="A7" s="58" t="s">
        <v>120</v>
      </c>
      <c r="B7" s="38"/>
      <c r="C7" s="54"/>
      <c r="K7" s="13"/>
      <c r="L7" s="28"/>
      <c r="M7" s="28"/>
      <c r="V7" s="13"/>
      <c r="W7" s="28"/>
      <c r="DB7" t="s">
        <v>543</v>
      </c>
      <c r="DF7" t="s">
        <v>544</v>
      </c>
      <c r="DJ7" t="s">
        <v>543</v>
      </c>
      <c r="DN7" t="s">
        <v>544</v>
      </c>
      <c r="JR7" t="s">
        <v>782</v>
      </c>
      <c r="JV7" t="s">
        <v>782</v>
      </c>
    </row>
    <row r="8" spans="1:282" ht="15" x14ac:dyDescent="0.25">
      <c r="A8" s="58"/>
      <c r="B8" s="38"/>
      <c r="C8" s="54"/>
      <c r="K8" s="13"/>
      <c r="L8" s="28"/>
      <c r="M8" s="28"/>
      <c r="V8" s="13"/>
      <c r="W8" s="28"/>
      <c r="BF8" t="s">
        <v>504</v>
      </c>
      <c r="BV8" t="s">
        <v>341</v>
      </c>
      <c r="CL8" t="s">
        <v>547</v>
      </c>
      <c r="GT8" s="3" t="s">
        <v>627</v>
      </c>
      <c r="HR8" t="s">
        <v>691</v>
      </c>
      <c r="HV8" t="s">
        <v>692</v>
      </c>
      <c r="HZ8" t="s">
        <v>693</v>
      </c>
      <c r="ID8" t="s">
        <v>694</v>
      </c>
      <c r="IH8" t="s">
        <v>695</v>
      </c>
      <c r="IL8" t="s">
        <v>696</v>
      </c>
      <c r="IP8" t="s">
        <v>697</v>
      </c>
      <c r="IT8" t="s">
        <v>698</v>
      </c>
      <c r="IX8" t="s">
        <v>699</v>
      </c>
      <c r="JB8" t="s">
        <v>722</v>
      </c>
      <c r="JF8" t="s">
        <v>721</v>
      </c>
      <c r="JR8" s="77" t="s">
        <v>149</v>
      </c>
      <c r="JV8" s="77" t="s">
        <v>784</v>
      </c>
    </row>
    <row r="9" spans="1:282" ht="15" x14ac:dyDescent="0.25">
      <c r="A9" s="52" t="s">
        <v>11</v>
      </c>
      <c r="B9" s="304" t="s">
        <v>790</v>
      </c>
      <c r="C9" s="22"/>
      <c r="F9" s="304" t="s">
        <v>790</v>
      </c>
      <c r="G9" s="22"/>
      <c r="J9" s="304" t="s">
        <v>790</v>
      </c>
      <c r="K9" s="22"/>
      <c r="N9" s="304" t="s">
        <v>790</v>
      </c>
      <c r="O9" s="22"/>
      <c r="R9" s="304" t="s">
        <v>386</v>
      </c>
      <c r="S9" s="22"/>
      <c r="V9" s="304" t="s">
        <v>386</v>
      </c>
      <c r="W9" s="22"/>
      <c r="Z9" s="304" t="s">
        <v>391</v>
      </c>
      <c r="AA9" s="22"/>
      <c r="AD9" s="304" t="s">
        <v>391</v>
      </c>
      <c r="AE9" s="22"/>
      <c r="AH9" s="304" t="s">
        <v>391</v>
      </c>
      <c r="AI9" s="22"/>
      <c r="AL9" s="304" t="s">
        <v>391</v>
      </c>
      <c r="AM9" s="22"/>
      <c r="AP9" s="8" t="s">
        <v>408</v>
      </c>
      <c r="AQ9" s="22"/>
      <c r="AT9" s="8" t="s">
        <v>408</v>
      </c>
      <c r="AU9" s="22"/>
      <c r="AX9" s="8" t="s">
        <v>408</v>
      </c>
      <c r="AY9" s="22"/>
      <c r="BB9" s="8" t="s">
        <v>408</v>
      </c>
      <c r="BF9" s="8" t="s">
        <v>428</v>
      </c>
      <c r="BG9" s="12"/>
      <c r="BH9" s="32"/>
      <c r="BI9" s="32"/>
      <c r="BJ9" s="8" t="s">
        <v>428</v>
      </c>
      <c r="BK9" s="12"/>
      <c r="BL9" s="32"/>
      <c r="BM9" s="32"/>
      <c r="BN9" s="8" t="s">
        <v>436</v>
      </c>
      <c r="BO9" s="12"/>
      <c r="BP9" s="32"/>
      <c r="BQ9" s="32"/>
      <c r="BR9" s="8" t="s">
        <v>436</v>
      </c>
      <c r="BS9" s="12"/>
      <c r="BT9" s="32"/>
      <c r="BU9" s="32"/>
      <c r="BV9" s="8" t="s">
        <v>448</v>
      </c>
      <c r="BW9" s="12"/>
      <c r="BX9" s="32"/>
      <c r="BY9" s="32"/>
      <c r="BZ9" s="8" t="s">
        <v>437</v>
      </c>
      <c r="CA9" s="12"/>
      <c r="CB9" s="32"/>
      <c r="CC9" s="32"/>
      <c r="CD9" s="8" t="s">
        <v>437</v>
      </c>
      <c r="CE9" s="12"/>
      <c r="CF9" s="32"/>
      <c r="CG9" s="32"/>
      <c r="CH9" s="8" t="s">
        <v>437</v>
      </c>
      <c r="CI9" s="12"/>
      <c r="CJ9" s="32"/>
      <c r="CK9" s="32"/>
      <c r="CL9" s="8" t="s">
        <v>489</v>
      </c>
      <c r="CM9" s="12"/>
      <c r="CN9" s="32"/>
      <c r="CO9" s="32"/>
      <c r="CP9" s="8" t="s">
        <v>489</v>
      </c>
      <c r="CQ9" s="12"/>
      <c r="CR9" s="32"/>
      <c r="CS9" s="32"/>
      <c r="CT9" s="8" t="s">
        <v>489</v>
      </c>
      <c r="CU9" s="12"/>
      <c r="CV9" s="32"/>
      <c r="CW9" s="32"/>
      <c r="CX9" s="8" t="s">
        <v>489</v>
      </c>
      <c r="CY9" s="12"/>
      <c r="CZ9" s="32"/>
      <c r="DA9" s="32"/>
      <c r="DB9" s="224" t="s">
        <v>520</v>
      </c>
      <c r="DC9" s="12"/>
      <c r="DD9" s="32"/>
      <c r="DE9" s="32"/>
      <c r="DF9" s="224" t="s">
        <v>520</v>
      </c>
      <c r="DG9" s="12"/>
      <c r="DH9" s="32"/>
      <c r="DI9" s="32"/>
      <c r="DJ9" s="224" t="s">
        <v>520</v>
      </c>
      <c r="DK9" s="12"/>
      <c r="DL9" s="32"/>
      <c r="DM9" s="32"/>
      <c r="DN9" s="224" t="s">
        <v>520</v>
      </c>
      <c r="DO9" s="12"/>
      <c r="DP9" s="32"/>
      <c r="DQ9" s="32"/>
      <c r="DR9" s="8" t="s">
        <v>524</v>
      </c>
      <c r="DS9" s="12"/>
      <c r="DT9" s="32"/>
      <c r="DU9" s="32"/>
      <c r="DV9" s="8" t="s">
        <v>524</v>
      </c>
      <c r="DW9" s="12"/>
      <c r="DX9" s="32"/>
      <c r="DY9" s="32"/>
      <c r="DZ9" s="8" t="s">
        <v>524</v>
      </c>
      <c r="EA9" s="12"/>
      <c r="EB9" s="32"/>
      <c r="EC9" s="32"/>
      <c r="ED9" s="224" t="s">
        <v>531</v>
      </c>
      <c r="EE9" s="12"/>
      <c r="EF9" s="32"/>
      <c r="EG9" s="32"/>
      <c r="EH9" s="8" t="s">
        <v>564</v>
      </c>
      <c r="EI9" s="12"/>
      <c r="EJ9" s="32"/>
      <c r="EK9" s="32"/>
      <c r="EL9" s="8" t="s">
        <v>564</v>
      </c>
      <c r="EM9" s="12"/>
      <c r="EN9" s="32"/>
      <c r="EO9" s="32"/>
      <c r="EP9" s="8" t="s">
        <v>563</v>
      </c>
      <c r="ET9" s="8" t="s">
        <v>563</v>
      </c>
      <c r="EX9" s="8" t="s">
        <v>563</v>
      </c>
      <c r="FB9" s="8" t="s">
        <v>563</v>
      </c>
      <c r="FF9" s="8" t="s">
        <v>563</v>
      </c>
      <c r="FJ9" s="8" t="s">
        <v>563</v>
      </c>
      <c r="FN9" s="8" t="s">
        <v>590</v>
      </c>
      <c r="FR9" s="8" t="s">
        <v>590</v>
      </c>
      <c r="FV9" s="8" t="s">
        <v>590</v>
      </c>
      <c r="FZ9" s="8" t="s">
        <v>590</v>
      </c>
      <c r="GD9" s="224" t="s">
        <v>618</v>
      </c>
      <c r="GE9" s="175"/>
      <c r="GH9" s="224" t="s">
        <v>618</v>
      </c>
      <c r="GL9" s="224" t="s">
        <v>618</v>
      </c>
      <c r="GP9" s="224" t="s">
        <v>618</v>
      </c>
      <c r="GT9" s="224" t="s">
        <v>618</v>
      </c>
      <c r="GX9" s="224" t="s">
        <v>618</v>
      </c>
      <c r="HB9" s="224" t="s">
        <v>618</v>
      </c>
      <c r="HF9" s="224" t="s">
        <v>618</v>
      </c>
      <c r="HJ9" s="8" t="s">
        <v>634</v>
      </c>
      <c r="HN9" s="8" t="s">
        <v>634</v>
      </c>
      <c r="HR9" s="8" t="s">
        <v>656</v>
      </c>
      <c r="HV9" s="8" t="s">
        <v>656</v>
      </c>
      <c r="HZ9" s="8" t="s">
        <v>656</v>
      </c>
      <c r="ID9" s="8" t="s">
        <v>656</v>
      </c>
      <c r="IH9" s="8" t="s">
        <v>656</v>
      </c>
      <c r="IL9" s="8" t="s">
        <v>656</v>
      </c>
      <c r="IP9" s="8" t="s">
        <v>656</v>
      </c>
      <c r="IT9" s="8" t="s">
        <v>656</v>
      </c>
      <c r="IX9" s="8" t="s">
        <v>656</v>
      </c>
      <c r="JB9" s="8" t="s">
        <v>707</v>
      </c>
      <c r="JF9" s="8" t="s">
        <v>707</v>
      </c>
      <c r="JJ9" s="8" t="s">
        <v>707</v>
      </c>
      <c r="JN9" s="8" t="s">
        <v>707</v>
      </c>
      <c r="JR9" s="8" t="s">
        <v>779</v>
      </c>
      <c r="JV9" s="8" t="s">
        <v>779</v>
      </c>
    </row>
    <row r="10" spans="1:282" ht="15" x14ac:dyDescent="0.25">
      <c r="A10" s="52" t="s">
        <v>123</v>
      </c>
      <c r="B10" s="28" t="s">
        <v>365</v>
      </c>
      <c r="C10" s="22"/>
      <c r="F10" s="28" t="s">
        <v>372</v>
      </c>
      <c r="G10" s="22"/>
      <c r="J10" s="28" t="s">
        <v>373</v>
      </c>
      <c r="K10" s="22"/>
      <c r="N10" s="28" t="s">
        <v>366</v>
      </c>
      <c r="O10" s="22"/>
      <c r="R10" s="28"/>
      <c r="S10" s="22"/>
      <c r="V10" s="28"/>
      <c r="W10" s="22"/>
      <c r="Z10" s="28"/>
      <c r="AA10" s="22"/>
      <c r="AD10" s="28"/>
      <c r="AE10" s="22"/>
      <c r="AH10" s="28"/>
      <c r="AI10" s="22"/>
      <c r="AL10" s="28"/>
      <c r="AM10" s="22"/>
      <c r="AP10" s="28" t="s">
        <v>419</v>
      </c>
      <c r="AQ10" s="22"/>
      <c r="AT10" s="28" t="s">
        <v>422</v>
      </c>
      <c r="AU10" s="22"/>
      <c r="AX10" s="28" t="s">
        <v>419</v>
      </c>
      <c r="AY10" s="22"/>
      <c r="BB10" s="28" t="s">
        <v>422</v>
      </c>
      <c r="BC10" s="22"/>
      <c r="BF10" s="28" t="s">
        <v>435</v>
      </c>
      <c r="BN10" s="28"/>
      <c r="BV10" s="28" t="s">
        <v>493</v>
      </c>
      <c r="BZ10" s="28"/>
      <c r="CD10" s="28"/>
      <c r="CH10" s="28"/>
      <c r="CL10" s="28" t="s">
        <v>556</v>
      </c>
      <c r="CP10" s="28" t="s">
        <v>493</v>
      </c>
      <c r="CT10" s="28" t="s">
        <v>493</v>
      </c>
      <c r="CX10" s="28" t="s">
        <v>493</v>
      </c>
      <c r="DB10" s="28" t="s">
        <v>521</v>
      </c>
      <c r="DF10" s="28" t="s">
        <v>521</v>
      </c>
      <c r="DJ10" s="28" t="s">
        <v>521</v>
      </c>
      <c r="DN10" s="28" t="s">
        <v>521</v>
      </c>
      <c r="DR10" s="28"/>
      <c r="DV10" s="28"/>
      <c r="DZ10" s="28"/>
      <c r="ED10" s="28"/>
      <c r="EH10" s="28"/>
      <c r="EL10" s="28"/>
      <c r="HR10" t="s">
        <v>686</v>
      </c>
      <c r="HS10" t="s">
        <v>335</v>
      </c>
      <c r="HV10" t="s">
        <v>686</v>
      </c>
      <c r="HZ10" t="s">
        <v>686</v>
      </c>
      <c r="ID10" t="s">
        <v>687</v>
      </c>
      <c r="IH10" t="s">
        <v>687</v>
      </c>
      <c r="IL10" t="s">
        <v>687</v>
      </c>
      <c r="IP10" t="s">
        <v>687</v>
      </c>
      <c r="IT10" t="s">
        <v>685</v>
      </c>
      <c r="IX10" t="s">
        <v>685</v>
      </c>
      <c r="JB10" t="s">
        <v>687</v>
      </c>
      <c r="JF10" t="s">
        <v>687</v>
      </c>
      <c r="JJ10" t="s">
        <v>718</v>
      </c>
      <c r="JN10" t="s">
        <v>718</v>
      </c>
      <c r="JR10" t="s">
        <v>783</v>
      </c>
      <c r="JV10" t="s">
        <v>783</v>
      </c>
    </row>
    <row r="11" spans="1:282" ht="15" x14ac:dyDescent="0.25">
      <c r="A11" s="48" t="s">
        <v>0</v>
      </c>
      <c r="B11" s="38" t="s">
        <v>352</v>
      </c>
      <c r="C11" s="54"/>
      <c r="F11" s="38" t="s">
        <v>352</v>
      </c>
      <c r="G11" s="54"/>
      <c r="J11" s="38" t="s">
        <v>352</v>
      </c>
      <c r="K11" s="54"/>
      <c r="N11" s="38" t="s">
        <v>352</v>
      </c>
      <c r="O11" s="54"/>
      <c r="R11" s="38" t="s">
        <v>352</v>
      </c>
      <c r="S11" s="54"/>
      <c r="V11" s="38" t="s">
        <v>352</v>
      </c>
      <c r="W11" s="54"/>
      <c r="Z11" s="38" t="s">
        <v>352</v>
      </c>
      <c r="AA11" s="54"/>
      <c r="AD11" s="38" t="s">
        <v>352</v>
      </c>
      <c r="AE11" s="54"/>
      <c r="AH11" s="38" t="s">
        <v>352</v>
      </c>
      <c r="AI11" s="54"/>
      <c r="AL11" s="38" t="s">
        <v>352</v>
      </c>
      <c r="AM11" s="54"/>
      <c r="AP11" s="38" t="s">
        <v>352</v>
      </c>
      <c r="AQ11" s="54"/>
      <c r="AT11" s="38" t="s">
        <v>352</v>
      </c>
      <c r="AU11" s="54"/>
      <c r="AX11" s="38" t="s">
        <v>352</v>
      </c>
      <c r="AY11" s="54"/>
      <c r="BB11" s="38" t="s">
        <v>352</v>
      </c>
      <c r="BC11" s="54"/>
      <c r="BF11" s="38" t="s">
        <v>352</v>
      </c>
      <c r="BN11" s="38" t="s">
        <v>352</v>
      </c>
      <c r="BV11" s="38" t="s">
        <v>352</v>
      </c>
      <c r="BZ11" s="38" t="s">
        <v>352</v>
      </c>
      <c r="CD11" s="38" t="s">
        <v>352</v>
      </c>
      <c r="CH11" s="38" t="s">
        <v>352</v>
      </c>
      <c r="CL11" s="38" t="s">
        <v>352</v>
      </c>
      <c r="CP11" s="38" t="s">
        <v>352</v>
      </c>
      <c r="CT11" s="38" t="s">
        <v>352</v>
      </c>
      <c r="CX11" s="38" t="s">
        <v>352</v>
      </c>
      <c r="DB11" s="38" t="s">
        <v>352</v>
      </c>
      <c r="DF11" s="38" t="s">
        <v>352</v>
      </c>
      <c r="DJ11" s="38" t="s">
        <v>352</v>
      </c>
      <c r="DN11" s="38" t="s">
        <v>352</v>
      </c>
      <c r="DR11" s="38" t="s">
        <v>525</v>
      </c>
      <c r="DV11" s="38" t="s">
        <v>525</v>
      </c>
      <c r="DZ11" s="38" t="s">
        <v>525</v>
      </c>
      <c r="ED11" s="38" t="s">
        <v>533</v>
      </c>
      <c r="EH11" s="38" t="s">
        <v>567</v>
      </c>
      <c r="EL11" s="38" t="s">
        <v>567</v>
      </c>
      <c r="EP11" t="s">
        <v>533</v>
      </c>
      <c r="ET11" t="s">
        <v>533</v>
      </c>
      <c r="EX11" t="s">
        <v>533</v>
      </c>
      <c r="FB11" t="s">
        <v>533</v>
      </c>
      <c r="FF11" t="s">
        <v>533</v>
      </c>
      <c r="FJ11" t="s">
        <v>533</v>
      </c>
      <c r="FN11" t="s">
        <v>533</v>
      </c>
      <c r="FR11" t="s">
        <v>533</v>
      </c>
      <c r="FV11" t="s">
        <v>533</v>
      </c>
      <c r="FZ11" t="s">
        <v>533</v>
      </c>
      <c r="GD11" t="s">
        <v>352</v>
      </c>
      <c r="GH11" t="s">
        <v>352</v>
      </c>
      <c r="GL11" t="s">
        <v>352</v>
      </c>
      <c r="GP11" t="s">
        <v>352</v>
      </c>
      <c r="GT11" t="s">
        <v>352</v>
      </c>
      <c r="GX11" t="s">
        <v>352</v>
      </c>
      <c r="HB11" t="s">
        <v>352</v>
      </c>
      <c r="HF11" t="s">
        <v>352</v>
      </c>
      <c r="HJ11" t="s">
        <v>352</v>
      </c>
      <c r="HN11" t="s">
        <v>352</v>
      </c>
      <c r="HR11" t="s">
        <v>352</v>
      </c>
      <c r="HV11" t="s">
        <v>352</v>
      </c>
      <c r="HZ11" t="s">
        <v>352</v>
      </c>
      <c r="ID11" t="s">
        <v>352</v>
      </c>
      <c r="IH11" t="s">
        <v>352</v>
      </c>
      <c r="IL11" t="s">
        <v>352</v>
      </c>
      <c r="IP11" t="s">
        <v>352</v>
      </c>
      <c r="IT11" t="s">
        <v>352</v>
      </c>
      <c r="IX11" t="s">
        <v>352</v>
      </c>
      <c r="JB11" t="s">
        <v>352</v>
      </c>
      <c r="JF11" t="s">
        <v>352</v>
      </c>
      <c r="JJ11" t="s">
        <v>352</v>
      </c>
      <c r="JN11" t="s">
        <v>352</v>
      </c>
      <c r="JR11" t="s">
        <v>352</v>
      </c>
      <c r="JV11" t="s">
        <v>352</v>
      </c>
    </row>
    <row r="12" spans="1:282" ht="15" x14ac:dyDescent="0.25">
      <c r="A12" s="13" t="s">
        <v>10</v>
      </c>
      <c r="B12" s="38"/>
      <c r="C12" s="54"/>
      <c r="F12" s="38"/>
      <c r="G12" s="54"/>
      <c r="J12" s="38"/>
      <c r="K12" s="54"/>
      <c r="N12" s="38"/>
      <c r="O12" s="54"/>
      <c r="R12" s="38"/>
      <c r="S12" s="54"/>
      <c r="V12" s="38"/>
      <c r="W12" s="54"/>
      <c r="Z12" s="38"/>
      <c r="AA12" s="54"/>
      <c r="AD12" s="38"/>
      <c r="AE12" s="54"/>
      <c r="AH12" s="38"/>
      <c r="AI12" s="54"/>
      <c r="AL12" s="38"/>
      <c r="AM12" s="54"/>
      <c r="AP12" s="38"/>
      <c r="AQ12" s="54"/>
      <c r="AT12" s="38"/>
      <c r="AU12" s="54"/>
      <c r="AX12" s="38"/>
      <c r="AY12" s="54"/>
      <c r="BB12" s="38"/>
      <c r="BC12" s="54"/>
      <c r="BF12" s="38"/>
      <c r="BN12" s="38"/>
      <c r="BV12" s="38"/>
      <c r="BZ12" s="38"/>
      <c r="CD12" s="38"/>
      <c r="CH12" s="38"/>
      <c r="CL12" s="38"/>
      <c r="CP12" s="38"/>
      <c r="CT12" s="38"/>
      <c r="CX12" s="38"/>
      <c r="DB12" s="38"/>
      <c r="DF12" s="38"/>
      <c r="DJ12" s="38"/>
      <c r="DN12" s="38"/>
      <c r="DR12" s="38"/>
      <c r="DV12" s="38"/>
      <c r="DZ12" s="38"/>
      <c r="ED12" s="38"/>
      <c r="EH12" s="38"/>
      <c r="EL12" s="38"/>
    </row>
    <row r="13" spans="1:282" ht="30" x14ac:dyDescent="0.25">
      <c r="A13" s="13" t="s">
        <v>9</v>
      </c>
      <c r="B13" s="39"/>
      <c r="C13" s="47"/>
      <c r="F13" s="39"/>
      <c r="G13" s="47"/>
      <c r="J13" s="39"/>
      <c r="K13" s="47"/>
      <c r="N13" s="39"/>
      <c r="O13" s="47"/>
      <c r="R13" s="39"/>
      <c r="S13" s="47"/>
      <c r="V13" s="39"/>
      <c r="W13" s="47"/>
      <c r="Z13" s="39"/>
      <c r="AA13" s="47"/>
      <c r="AD13" s="39"/>
      <c r="AE13" s="47"/>
      <c r="AH13" s="39"/>
      <c r="AI13" s="47"/>
      <c r="AL13" s="39"/>
      <c r="AM13" s="47"/>
      <c r="AP13" s="39"/>
      <c r="AQ13" s="47"/>
      <c r="AT13" s="39"/>
      <c r="AU13" s="47"/>
      <c r="AX13" s="40" t="s">
        <v>420</v>
      </c>
      <c r="AY13" s="47"/>
      <c r="BB13" s="40" t="s">
        <v>420</v>
      </c>
      <c r="BC13" s="47"/>
      <c r="BF13" s="39"/>
      <c r="BN13" s="39"/>
      <c r="BV13" s="39"/>
      <c r="BZ13" s="39"/>
      <c r="CD13" s="39"/>
      <c r="CH13" s="39"/>
      <c r="CL13" s="39"/>
      <c r="CP13" s="39"/>
      <c r="CT13" s="39"/>
      <c r="CX13" s="39"/>
      <c r="DB13" s="39"/>
      <c r="DF13" s="39"/>
      <c r="DJ13" s="39"/>
      <c r="DN13" s="39"/>
      <c r="DR13" s="39"/>
      <c r="DV13" s="39"/>
      <c r="DZ13" s="39"/>
      <c r="ED13" s="39" t="s">
        <v>534</v>
      </c>
      <c r="EH13" s="39"/>
      <c r="EL13" s="39"/>
      <c r="FJ13" t="s">
        <v>576</v>
      </c>
      <c r="JF13" t="s">
        <v>717</v>
      </c>
      <c r="JN13" t="s">
        <v>719</v>
      </c>
    </row>
    <row r="14" spans="1:282" s="1" customFormat="1" ht="15" x14ac:dyDescent="0.25">
      <c r="A14" s="13" t="s">
        <v>25</v>
      </c>
      <c r="B14" s="40" t="s">
        <v>367</v>
      </c>
      <c r="C14" s="52"/>
      <c r="F14" s="40" t="s">
        <v>367</v>
      </c>
      <c r="G14" s="52"/>
      <c r="J14" s="40" t="s">
        <v>367</v>
      </c>
      <c r="K14" s="52"/>
      <c r="N14" s="40" t="s">
        <v>367</v>
      </c>
      <c r="O14" s="52"/>
      <c r="R14" s="40" t="s">
        <v>367</v>
      </c>
      <c r="S14" s="52"/>
      <c r="V14" s="40" t="s">
        <v>367</v>
      </c>
      <c r="W14" s="52"/>
      <c r="Z14" s="40" t="s">
        <v>367</v>
      </c>
      <c r="AA14" s="52"/>
      <c r="AD14" s="40" t="s">
        <v>367</v>
      </c>
      <c r="AE14" s="52"/>
      <c r="AH14" s="40" t="s">
        <v>367</v>
      </c>
      <c r="AI14" s="52"/>
      <c r="AL14" s="40" t="s">
        <v>367</v>
      </c>
      <c r="AM14" s="52"/>
      <c r="AP14" s="40" t="s">
        <v>367</v>
      </c>
      <c r="AQ14" s="52"/>
      <c r="AT14" s="40" t="s">
        <v>367</v>
      </c>
      <c r="AU14" s="52"/>
      <c r="AX14" s="40" t="s">
        <v>367</v>
      </c>
      <c r="AY14" s="52"/>
      <c r="BB14" s="40" t="s">
        <v>367</v>
      </c>
      <c r="BC14" s="52"/>
      <c r="BF14" s="40" t="s">
        <v>367</v>
      </c>
      <c r="BN14" s="40" t="s">
        <v>367</v>
      </c>
      <c r="BV14" s="40" t="s">
        <v>367</v>
      </c>
      <c r="BZ14" s="40" t="s">
        <v>367</v>
      </c>
      <c r="CD14" s="40" t="s">
        <v>367</v>
      </c>
      <c r="CH14" s="40" t="s">
        <v>367</v>
      </c>
      <c r="CL14" s="40" t="s">
        <v>367</v>
      </c>
      <c r="CP14" s="40" t="s">
        <v>367</v>
      </c>
      <c r="CT14" s="40" t="s">
        <v>367</v>
      </c>
      <c r="CX14" s="40" t="s">
        <v>367</v>
      </c>
      <c r="DB14" s="40" t="s">
        <v>367</v>
      </c>
      <c r="DF14" s="40" t="s">
        <v>367</v>
      </c>
      <c r="DJ14" s="40" t="s">
        <v>367</v>
      </c>
      <c r="DN14" s="40" t="s">
        <v>367</v>
      </c>
      <c r="DR14" s="40" t="s">
        <v>367</v>
      </c>
      <c r="DV14" s="40" t="s">
        <v>367</v>
      </c>
      <c r="DZ14" s="40" t="s">
        <v>367</v>
      </c>
      <c r="ED14" s="40" t="s">
        <v>367</v>
      </c>
      <c r="EH14" s="40" t="s">
        <v>367</v>
      </c>
      <c r="EL14" s="40" t="s">
        <v>367</v>
      </c>
      <c r="EP14" s="1" t="s">
        <v>367</v>
      </c>
      <c r="ET14" s="1" t="s">
        <v>367</v>
      </c>
      <c r="EX14" s="1" t="s">
        <v>367</v>
      </c>
      <c r="FB14" s="1" t="s">
        <v>367</v>
      </c>
      <c r="FF14" s="1" t="s">
        <v>367</v>
      </c>
      <c r="FJ14" s="1" t="s">
        <v>367</v>
      </c>
      <c r="FN14" s="1" t="s">
        <v>367</v>
      </c>
      <c r="FR14" s="1" t="s">
        <v>367</v>
      </c>
      <c r="FV14" s="1" t="s">
        <v>367</v>
      </c>
      <c r="FZ14" s="1" t="s">
        <v>367</v>
      </c>
      <c r="GD14" s="1" t="s">
        <v>367</v>
      </c>
      <c r="GH14" s="1" t="s">
        <v>743</v>
      </c>
      <c r="GL14" s="1" t="s">
        <v>744</v>
      </c>
      <c r="GP14" s="1" t="s">
        <v>745</v>
      </c>
      <c r="GT14" s="1" t="s">
        <v>367</v>
      </c>
      <c r="GX14" s="1" t="s">
        <v>743</v>
      </c>
      <c r="HB14" s="1" t="s">
        <v>744</v>
      </c>
      <c r="HF14" s="1" t="s">
        <v>746</v>
      </c>
      <c r="HJ14" s="1" t="s">
        <v>367</v>
      </c>
      <c r="HN14" s="1" t="s">
        <v>367</v>
      </c>
      <c r="HR14" s="1" t="s">
        <v>367</v>
      </c>
      <c r="HV14" s="1" t="s">
        <v>367</v>
      </c>
      <c r="HZ14" s="1" t="s">
        <v>367</v>
      </c>
      <c r="ID14" s="1" t="s">
        <v>367</v>
      </c>
      <c r="IH14" s="1" t="s">
        <v>367</v>
      </c>
      <c r="IL14" s="1" t="s">
        <v>367</v>
      </c>
      <c r="IP14" s="1" t="s">
        <v>367</v>
      </c>
      <c r="IT14" s="1" t="s">
        <v>329</v>
      </c>
      <c r="IX14" s="1" t="s">
        <v>367</v>
      </c>
      <c r="JB14" s="1" t="s">
        <v>367</v>
      </c>
      <c r="JF14" s="1" t="s">
        <v>367</v>
      </c>
      <c r="JJ14" s="1" t="s">
        <v>367</v>
      </c>
      <c r="JN14" s="1" t="s">
        <v>367</v>
      </c>
      <c r="JR14" s="1" t="s">
        <v>367</v>
      </c>
      <c r="JV14" s="1" t="s">
        <v>367</v>
      </c>
    </row>
    <row r="15" spans="1:282" ht="15" x14ac:dyDescent="0.25">
      <c r="A15" s="48" t="s">
        <v>353</v>
      </c>
      <c r="B15" s="39">
        <v>50</v>
      </c>
      <c r="C15" s="47"/>
      <c r="F15" s="39">
        <v>50</v>
      </c>
      <c r="G15" s="47"/>
      <c r="J15" s="39" t="s">
        <v>382</v>
      </c>
      <c r="K15" s="47"/>
      <c r="N15" s="39">
        <v>50</v>
      </c>
      <c r="O15" s="47"/>
      <c r="R15" s="39" t="s">
        <v>387</v>
      </c>
      <c r="S15" s="47"/>
      <c r="V15" s="39" t="s">
        <v>389</v>
      </c>
      <c r="W15" s="47"/>
      <c r="Z15" s="39" t="s">
        <v>387</v>
      </c>
      <c r="AA15" s="47"/>
      <c r="AD15" s="39">
        <v>200</v>
      </c>
      <c r="AE15" s="47"/>
      <c r="AH15" s="39" t="s">
        <v>387</v>
      </c>
      <c r="AI15" s="47"/>
      <c r="AL15" s="39">
        <v>200</v>
      </c>
      <c r="AM15" s="47"/>
      <c r="AP15" s="39">
        <v>5</v>
      </c>
      <c r="AQ15" s="47"/>
      <c r="AT15" s="39">
        <v>5</v>
      </c>
      <c r="AU15" s="47"/>
      <c r="AX15" s="39">
        <v>5</v>
      </c>
      <c r="AY15" s="47"/>
      <c r="BB15" s="39">
        <v>5</v>
      </c>
      <c r="BC15" s="47"/>
      <c r="BF15" s="39">
        <v>10</v>
      </c>
      <c r="BJ15" t="s">
        <v>432</v>
      </c>
      <c r="BN15" s="39">
        <v>100</v>
      </c>
      <c r="BR15">
        <v>100</v>
      </c>
      <c r="BV15" s="39">
        <v>100</v>
      </c>
      <c r="BZ15" s="39">
        <v>25</v>
      </c>
      <c r="CD15" s="39">
        <v>25</v>
      </c>
      <c r="CH15" s="39">
        <v>25</v>
      </c>
      <c r="CL15" s="39">
        <v>100</v>
      </c>
      <c r="CP15" s="39">
        <v>100</v>
      </c>
      <c r="CT15" s="39">
        <v>100</v>
      </c>
      <c r="CX15" s="39">
        <v>50</v>
      </c>
      <c r="DB15" s="39">
        <v>100</v>
      </c>
      <c r="DF15" s="39" t="s">
        <v>389</v>
      </c>
      <c r="DJ15" s="39">
        <v>100</v>
      </c>
      <c r="DN15" s="39" t="s">
        <v>389</v>
      </c>
      <c r="DR15" s="39" t="s">
        <v>561</v>
      </c>
      <c r="DV15" s="39"/>
      <c r="DZ15" s="39"/>
      <c r="ED15" s="39">
        <v>35</v>
      </c>
      <c r="EH15" s="39">
        <v>200</v>
      </c>
      <c r="EL15" s="39">
        <v>200</v>
      </c>
      <c r="EP15" t="s">
        <v>571</v>
      </c>
      <c r="ET15" t="s">
        <v>571</v>
      </c>
      <c r="EX15" t="s">
        <v>574</v>
      </c>
      <c r="FB15" t="s">
        <v>574</v>
      </c>
      <c r="FF15" t="s">
        <v>572</v>
      </c>
      <c r="FJ15" t="s">
        <v>571</v>
      </c>
      <c r="FR15" t="s">
        <v>594</v>
      </c>
      <c r="FV15" t="s">
        <v>597</v>
      </c>
      <c r="FZ15" t="s">
        <v>597</v>
      </c>
      <c r="GD15" t="s">
        <v>626</v>
      </c>
      <c r="GH15" t="s">
        <v>626</v>
      </c>
      <c r="GL15" t="s">
        <v>626</v>
      </c>
      <c r="GP15" t="s">
        <v>626</v>
      </c>
      <c r="GT15" t="s">
        <v>626</v>
      </c>
      <c r="GX15" t="s">
        <v>626</v>
      </c>
      <c r="HB15" t="s">
        <v>626</v>
      </c>
      <c r="HF15" t="s">
        <v>626</v>
      </c>
      <c r="HJ15">
        <v>50</v>
      </c>
      <c r="HN15">
        <v>50</v>
      </c>
      <c r="HR15">
        <v>200</v>
      </c>
      <c r="HV15">
        <v>100</v>
      </c>
      <c r="HZ15">
        <v>50</v>
      </c>
      <c r="ID15">
        <v>200</v>
      </c>
      <c r="IH15">
        <v>200</v>
      </c>
      <c r="IL15">
        <v>200</v>
      </c>
      <c r="IP15" t="s">
        <v>683</v>
      </c>
      <c r="IT15">
        <v>50</v>
      </c>
      <c r="IX15">
        <v>50</v>
      </c>
      <c r="JB15">
        <v>50</v>
      </c>
      <c r="JF15" t="s">
        <v>709</v>
      </c>
      <c r="JJ15">
        <v>100</v>
      </c>
      <c r="JN15" t="s">
        <v>710</v>
      </c>
      <c r="JR15">
        <v>50</v>
      </c>
      <c r="JV15">
        <v>25</v>
      </c>
    </row>
    <row r="16" spans="1:282" ht="30" x14ac:dyDescent="0.25">
      <c r="A16" s="13" t="s">
        <v>26</v>
      </c>
      <c r="B16" s="41" t="s">
        <v>335</v>
      </c>
      <c r="C16" s="19"/>
      <c r="F16" s="41" t="s">
        <v>335</v>
      </c>
      <c r="G16" s="19"/>
      <c r="J16" s="41" t="s">
        <v>335</v>
      </c>
      <c r="K16" s="19"/>
      <c r="N16" s="41" t="s">
        <v>335</v>
      </c>
      <c r="O16" s="19"/>
      <c r="R16" s="41" t="s">
        <v>335</v>
      </c>
      <c r="S16" s="19"/>
      <c r="V16" s="41" t="s">
        <v>335</v>
      </c>
      <c r="W16" s="19"/>
      <c r="Z16" s="41" t="s">
        <v>335</v>
      </c>
      <c r="AA16" s="19"/>
      <c r="AD16" s="41" t="s">
        <v>335</v>
      </c>
      <c r="AE16" s="19"/>
      <c r="AH16" s="41" t="s">
        <v>335</v>
      </c>
      <c r="AI16" s="19"/>
      <c r="AL16" s="41" t="s">
        <v>335</v>
      </c>
      <c r="AM16" s="19"/>
      <c r="AP16" s="41" t="s">
        <v>409</v>
      </c>
      <c r="AQ16" s="19"/>
      <c r="AT16" s="41" t="s">
        <v>335</v>
      </c>
      <c r="AU16" s="19"/>
      <c r="AX16" s="41" t="s">
        <v>409</v>
      </c>
      <c r="AY16" s="19"/>
      <c r="BB16" s="41" t="s">
        <v>335</v>
      </c>
      <c r="BC16" s="19"/>
      <c r="BF16" s="41" t="s">
        <v>409</v>
      </c>
      <c r="BJ16" t="s">
        <v>409</v>
      </c>
      <c r="BN16" s="41" t="s">
        <v>335</v>
      </c>
      <c r="BR16" t="s">
        <v>335</v>
      </c>
      <c r="BV16" s="41" t="s">
        <v>335</v>
      </c>
      <c r="BZ16" s="41" t="s">
        <v>335</v>
      </c>
      <c r="CD16" s="41" t="s">
        <v>335</v>
      </c>
      <c r="CH16" s="41" t="s">
        <v>335</v>
      </c>
      <c r="CL16" s="41" t="s">
        <v>335</v>
      </c>
      <c r="CP16" s="41" t="s">
        <v>335</v>
      </c>
      <c r="CT16" s="41" t="s">
        <v>335</v>
      </c>
      <c r="CX16" s="41" t="s">
        <v>335</v>
      </c>
      <c r="DB16" s="41" t="s">
        <v>335</v>
      </c>
      <c r="DF16" s="41" t="s">
        <v>335</v>
      </c>
      <c r="DJ16" s="41" t="s">
        <v>335</v>
      </c>
      <c r="DN16" s="41" t="s">
        <v>335</v>
      </c>
      <c r="DR16" s="41" t="s">
        <v>526</v>
      </c>
      <c r="DV16" s="41" t="s">
        <v>526</v>
      </c>
      <c r="DZ16" s="41" t="s">
        <v>526</v>
      </c>
      <c r="ED16" s="41" t="s">
        <v>542</v>
      </c>
      <c r="JB16" t="s">
        <v>335</v>
      </c>
      <c r="JF16" t="s">
        <v>335</v>
      </c>
      <c r="JJ16" t="s">
        <v>335</v>
      </c>
      <c r="JN16" t="s">
        <v>335</v>
      </c>
      <c r="JR16" t="s">
        <v>335</v>
      </c>
      <c r="JV16" t="s">
        <v>335</v>
      </c>
    </row>
    <row r="17" spans="1:284" ht="15" x14ac:dyDescent="0.25">
      <c r="A17" s="48" t="s">
        <v>14</v>
      </c>
      <c r="B17" s="42" t="s">
        <v>445</v>
      </c>
      <c r="C17" s="24"/>
      <c r="F17" s="42" t="s">
        <v>445</v>
      </c>
      <c r="G17" s="24"/>
      <c r="J17" s="42" t="s">
        <v>455</v>
      </c>
      <c r="K17" s="24"/>
      <c r="N17" s="42" t="s">
        <v>374</v>
      </c>
      <c r="O17" s="24"/>
      <c r="R17" s="42"/>
      <c r="S17" s="24"/>
      <c r="V17" s="42"/>
      <c r="W17" s="24"/>
      <c r="Z17" s="42"/>
      <c r="AA17" s="24"/>
      <c r="AD17" s="42"/>
      <c r="AE17" s="24"/>
      <c r="AH17" s="42"/>
      <c r="AI17" s="24"/>
      <c r="AL17" s="42"/>
      <c r="AM17" s="24"/>
      <c r="AP17" s="42" t="s">
        <v>416</v>
      </c>
      <c r="AQ17" s="24"/>
      <c r="AT17" s="42" t="s">
        <v>412</v>
      </c>
      <c r="AU17" s="24"/>
      <c r="AX17" s="42" t="s">
        <v>416</v>
      </c>
      <c r="AY17" s="24"/>
      <c r="BB17" s="42" t="s">
        <v>412</v>
      </c>
      <c r="BC17" s="24"/>
      <c r="BF17" s="42" t="s">
        <v>434</v>
      </c>
      <c r="BJ17" t="s">
        <v>433</v>
      </c>
      <c r="BN17" s="42"/>
      <c r="BV17" s="42"/>
      <c r="BZ17" s="42" t="s">
        <v>450</v>
      </c>
      <c r="CD17" s="42" t="s">
        <v>452</v>
      </c>
      <c r="CH17" s="42" t="s">
        <v>453</v>
      </c>
      <c r="DB17" t="s">
        <v>522</v>
      </c>
      <c r="DF17" t="s">
        <v>375</v>
      </c>
      <c r="DJ17" t="s">
        <v>522</v>
      </c>
      <c r="DN17" t="s">
        <v>375</v>
      </c>
      <c r="DR17" t="s">
        <v>527</v>
      </c>
      <c r="DV17" t="s">
        <v>528</v>
      </c>
      <c r="DZ17" t="s">
        <v>529</v>
      </c>
      <c r="ED17" t="s">
        <v>335</v>
      </c>
      <c r="EH17" t="s">
        <v>335</v>
      </c>
      <c r="EL17" t="s">
        <v>335</v>
      </c>
      <c r="EP17" t="s">
        <v>409</v>
      </c>
      <c r="ET17" t="s">
        <v>335</v>
      </c>
      <c r="EX17" t="s">
        <v>409</v>
      </c>
      <c r="FB17" t="s">
        <v>335</v>
      </c>
      <c r="FF17" t="s">
        <v>335</v>
      </c>
      <c r="FJ17" t="s">
        <v>409</v>
      </c>
      <c r="FN17" t="s">
        <v>409</v>
      </c>
      <c r="FR17" t="s">
        <v>335</v>
      </c>
      <c r="FV17" t="s">
        <v>335</v>
      </c>
      <c r="FZ17" t="s">
        <v>335</v>
      </c>
      <c r="GD17" t="s">
        <v>335</v>
      </c>
      <c r="GH17" t="s">
        <v>335</v>
      </c>
      <c r="GL17" t="s">
        <v>335</v>
      </c>
      <c r="GP17" t="s">
        <v>335</v>
      </c>
      <c r="GT17" t="s">
        <v>335</v>
      </c>
      <c r="GX17" t="s">
        <v>335</v>
      </c>
      <c r="HB17" t="s">
        <v>335</v>
      </c>
      <c r="HF17" t="s">
        <v>335</v>
      </c>
      <c r="HJ17" t="s">
        <v>335</v>
      </c>
      <c r="HN17" t="s">
        <v>335</v>
      </c>
      <c r="HR17" t="s">
        <v>335</v>
      </c>
      <c r="HV17" t="s">
        <v>335</v>
      </c>
      <c r="HZ17" t="s">
        <v>335</v>
      </c>
      <c r="ID17" t="s">
        <v>335</v>
      </c>
      <c r="IH17" t="s">
        <v>335</v>
      </c>
      <c r="IL17" t="s">
        <v>335</v>
      </c>
      <c r="IP17" t="s">
        <v>335</v>
      </c>
      <c r="IT17" t="s">
        <v>335</v>
      </c>
      <c r="IX17" t="s">
        <v>335</v>
      </c>
      <c r="JB17" t="s">
        <v>335</v>
      </c>
      <c r="JF17" t="s">
        <v>335</v>
      </c>
      <c r="JJ17" t="s">
        <v>335</v>
      </c>
      <c r="JN17" t="s">
        <v>335</v>
      </c>
      <c r="JR17" t="s">
        <v>335</v>
      </c>
      <c r="JV17" t="s">
        <v>335</v>
      </c>
    </row>
    <row r="18" spans="1:284" ht="15" x14ac:dyDescent="0.25">
      <c r="A18" s="52" t="s">
        <v>6</v>
      </c>
      <c r="B18" s="86" t="s">
        <v>369</v>
      </c>
      <c r="F18" s="86" t="s">
        <v>397</v>
      </c>
      <c r="J18" s="86" t="s">
        <v>398</v>
      </c>
      <c r="N18" s="86" t="s">
        <v>337</v>
      </c>
      <c r="R18" s="86" t="s">
        <v>364</v>
      </c>
      <c r="V18" s="86" t="s">
        <v>364</v>
      </c>
      <c r="Z18" s="86" t="s">
        <v>337</v>
      </c>
      <c r="AD18" s="86" t="s">
        <v>337</v>
      </c>
      <c r="AH18" s="86" t="s">
        <v>337</v>
      </c>
      <c r="AL18" s="86" t="s">
        <v>364</v>
      </c>
      <c r="AP18" s="86" t="s">
        <v>337</v>
      </c>
      <c r="AT18" s="86" t="s">
        <v>337</v>
      </c>
      <c r="AX18" s="86" t="s">
        <v>337</v>
      </c>
      <c r="BB18" s="86" t="s">
        <v>337</v>
      </c>
      <c r="BF18" s="86" t="s">
        <v>337</v>
      </c>
      <c r="BN18" s="86" t="s">
        <v>449</v>
      </c>
      <c r="BR18" t="s">
        <v>449</v>
      </c>
      <c r="BV18" s="86" t="s">
        <v>449</v>
      </c>
      <c r="BZ18" s="86" t="s">
        <v>451</v>
      </c>
      <c r="CD18" s="86" t="s">
        <v>451</v>
      </c>
      <c r="CH18" s="86" t="s">
        <v>451</v>
      </c>
      <c r="CL18" s="86" t="s">
        <v>487</v>
      </c>
      <c r="CP18" s="86" t="s">
        <v>491</v>
      </c>
      <c r="CT18" s="86" t="s">
        <v>492</v>
      </c>
      <c r="CX18" s="86" t="s">
        <v>490</v>
      </c>
      <c r="DB18" s="86" t="s">
        <v>337</v>
      </c>
      <c r="DF18" s="86" t="s">
        <v>523</v>
      </c>
      <c r="DJ18" s="86" t="s">
        <v>337</v>
      </c>
      <c r="DN18" s="86" t="s">
        <v>523</v>
      </c>
      <c r="DR18" s="86" t="s">
        <v>337</v>
      </c>
      <c r="DV18" s="86" t="s">
        <v>337</v>
      </c>
      <c r="DZ18" s="86" t="s">
        <v>337</v>
      </c>
      <c r="ED18" s="86" t="s">
        <v>337</v>
      </c>
      <c r="EH18" s="86" t="s">
        <v>337</v>
      </c>
      <c r="EL18" s="86" t="s">
        <v>364</v>
      </c>
      <c r="EP18" t="s">
        <v>337</v>
      </c>
      <c r="ET18" t="s">
        <v>337</v>
      </c>
      <c r="EX18" t="s">
        <v>337</v>
      </c>
      <c r="FB18" t="s">
        <v>337</v>
      </c>
      <c r="FF18" t="s">
        <v>337</v>
      </c>
      <c r="FJ18" t="s">
        <v>337</v>
      </c>
      <c r="FN18" t="s">
        <v>337</v>
      </c>
      <c r="FR18" t="s">
        <v>595</v>
      </c>
      <c r="FV18" t="s">
        <v>641</v>
      </c>
      <c r="FZ18" t="s">
        <v>337</v>
      </c>
      <c r="GD18" t="s">
        <v>364</v>
      </c>
      <c r="GH18" t="s">
        <v>364</v>
      </c>
      <c r="GL18" t="s">
        <v>364</v>
      </c>
      <c r="GP18" t="s">
        <v>364</v>
      </c>
      <c r="GT18" t="s">
        <v>364</v>
      </c>
      <c r="GX18" t="s">
        <v>364</v>
      </c>
      <c r="HB18" t="s">
        <v>364</v>
      </c>
      <c r="HF18" t="s">
        <v>364</v>
      </c>
      <c r="HJ18" t="s">
        <v>337</v>
      </c>
      <c r="HN18" t="s">
        <v>364</v>
      </c>
      <c r="HR18" t="s">
        <v>364</v>
      </c>
      <c r="HV18" t="s">
        <v>364</v>
      </c>
      <c r="HZ18" t="s">
        <v>364</v>
      </c>
      <c r="ID18" t="s">
        <v>364</v>
      </c>
      <c r="IH18" t="s">
        <v>364</v>
      </c>
      <c r="IL18" t="s">
        <v>364</v>
      </c>
      <c r="IP18" t="s">
        <v>337</v>
      </c>
      <c r="IT18" t="s">
        <v>364</v>
      </c>
      <c r="IX18" t="s">
        <v>364</v>
      </c>
      <c r="JB18" t="s">
        <v>337</v>
      </c>
      <c r="JF18" t="s">
        <v>711</v>
      </c>
      <c r="JJ18" t="s">
        <v>364</v>
      </c>
      <c r="JN18" t="s">
        <v>712</v>
      </c>
      <c r="JR18" t="s">
        <v>337</v>
      </c>
      <c r="JV18" t="s">
        <v>337</v>
      </c>
    </row>
    <row r="19" spans="1:284" ht="15" x14ac:dyDescent="0.25">
      <c r="A19" s="52" t="s">
        <v>4</v>
      </c>
      <c r="B19" s="33" t="s">
        <v>370</v>
      </c>
      <c r="C19" s="33"/>
      <c r="D19" s="33"/>
      <c r="E19" s="33"/>
      <c r="F19" s="33" t="s">
        <v>370</v>
      </c>
      <c r="G19" s="33"/>
      <c r="H19" s="33"/>
      <c r="I19" s="33"/>
      <c r="J19" s="33" t="s">
        <v>370</v>
      </c>
      <c r="K19" s="33"/>
      <c r="L19" s="33"/>
      <c r="M19" s="33"/>
      <c r="N19" s="33" t="s">
        <v>370</v>
      </c>
      <c r="O19" s="33"/>
      <c r="P19" s="33"/>
      <c r="Q19" s="33"/>
      <c r="R19" s="33" t="s">
        <v>388</v>
      </c>
      <c r="S19" s="33"/>
      <c r="T19" s="33"/>
      <c r="U19" s="33"/>
      <c r="V19" s="33" t="s">
        <v>388</v>
      </c>
      <c r="W19" s="33"/>
      <c r="X19" s="33"/>
      <c r="Y19" s="33"/>
      <c r="Z19" s="33" t="s">
        <v>388</v>
      </c>
      <c r="AA19" s="33"/>
      <c r="AB19" s="33"/>
      <c r="AC19" s="33"/>
      <c r="AD19" s="33" t="s">
        <v>364</v>
      </c>
      <c r="AE19" s="33"/>
      <c r="AF19" s="33"/>
      <c r="AG19" s="33"/>
      <c r="AH19" s="33" t="s">
        <v>388</v>
      </c>
      <c r="AI19" s="33"/>
      <c r="AJ19" s="33"/>
      <c r="AK19" s="33"/>
      <c r="AL19" s="33" t="s">
        <v>364</v>
      </c>
      <c r="AM19" s="33"/>
      <c r="AN19" s="33"/>
      <c r="AO19" s="33"/>
      <c r="AP19" s="33" t="s">
        <v>337</v>
      </c>
      <c r="AQ19" s="33"/>
      <c r="AR19" s="33"/>
      <c r="AS19" s="33"/>
      <c r="AT19" s="33" t="s">
        <v>337</v>
      </c>
      <c r="AU19" s="33"/>
      <c r="AV19" s="33"/>
      <c r="AW19" s="33"/>
      <c r="AX19" s="33" t="s">
        <v>337</v>
      </c>
      <c r="AY19" s="33"/>
      <c r="AZ19" s="33"/>
      <c r="BA19" s="33"/>
      <c r="BB19" s="33" t="s">
        <v>337</v>
      </c>
      <c r="BC19" s="33"/>
      <c r="BD19" s="33"/>
      <c r="BF19" s="33" t="s">
        <v>337</v>
      </c>
      <c r="BJ19" t="s">
        <v>337</v>
      </c>
      <c r="BN19" s="33" t="s">
        <v>337</v>
      </c>
      <c r="BR19" t="s">
        <v>364</v>
      </c>
      <c r="BV19" s="33" t="s">
        <v>337</v>
      </c>
      <c r="BZ19" s="33" t="s">
        <v>337</v>
      </c>
      <c r="CD19" s="33" t="s">
        <v>337</v>
      </c>
      <c r="CH19" s="33" t="s">
        <v>337</v>
      </c>
      <c r="CL19" s="42" t="s">
        <v>486</v>
      </c>
      <c r="CP19" s="42" t="s">
        <v>486</v>
      </c>
      <c r="CT19" s="42" t="s">
        <v>486</v>
      </c>
      <c r="CX19" s="42" t="s">
        <v>412</v>
      </c>
      <c r="DB19" s="42" t="s">
        <v>449</v>
      </c>
      <c r="DF19" s="42" t="s">
        <v>388</v>
      </c>
      <c r="DJ19" s="42" t="s">
        <v>449</v>
      </c>
      <c r="DN19" s="42" t="s">
        <v>388</v>
      </c>
      <c r="DR19" s="42" t="s">
        <v>370</v>
      </c>
      <c r="DV19" s="42" t="s">
        <v>370</v>
      </c>
      <c r="DZ19" s="42" t="s">
        <v>370</v>
      </c>
      <c r="ED19" s="42" t="s">
        <v>370</v>
      </c>
      <c r="EH19" s="41" t="s">
        <v>566</v>
      </c>
      <c r="EL19" s="41" t="s">
        <v>577</v>
      </c>
      <c r="EP19" t="s">
        <v>575</v>
      </c>
      <c r="ET19" t="s">
        <v>575</v>
      </c>
      <c r="EX19" t="s">
        <v>575</v>
      </c>
      <c r="FB19" t="s">
        <v>575</v>
      </c>
      <c r="FF19" t="s">
        <v>575</v>
      </c>
      <c r="FJ19" t="s">
        <v>575</v>
      </c>
      <c r="FR19" t="s">
        <v>596</v>
      </c>
      <c r="FV19" t="s">
        <v>598</v>
      </c>
      <c r="FZ19" t="s">
        <v>599</v>
      </c>
      <c r="GD19" t="s">
        <v>388</v>
      </c>
      <c r="GH19" t="s">
        <v>388</v>
      </c>
      <c r="GL19" t="s">
        <v>388</v>
      </c>
      <c r="GP19" t="s">
        <v>388</v>
      </c>
      <c r="GT19" t="s">
        <v>388</v>
      </c>
      <c r="GX19" t="s">
        <v>388</v>
      </c>
      <c r="HB19" t="s">
        <v>388</v>
      </c>
      <c r="HF19" t="s">
        <v>388</v>
      </c>
      <c r="HJ19" t="s">
        <v>449</v>
      </c>
      <c r="HN19" t="s">
        <v>449</v>
      </c>
      <c r="HR19" t="s">
        <v>681</v>
      </c>
      <c r="HV19" t="s">
        <v>681</v>
      </c>
      <c r="HZ19" t="s">
        <v>681</v>
      </c>
      <c r="ID19" t="s">
        <v>682</v>
      </c>
      <c r="IH19" t="s">
        <v>682</v>
      </c>
      <c r="IL19" t="s">
        <v>682</v>
      </c>
      <c r="IP19" t="s">
        <v>449</v>
      </c>
      <c r="IT19" t="s">
        <v>684</v>
      </c>
      <c r="IX19" t="s">
        <v>684</v>
      </c>
      <c r="JB19" t="s">
        <v>449</v>
      </c>
      <c r="JF19" t="s">
        <v>449</v>
      </c>
      <c r="JJ19" t="s">
        <v>449</v>
      </c>
      <c r="JN19" t="s">
        <v>449</v>
      </c>
      <c r="JR19" t="s">
        <v>449</v>
      </c>
      <c r="JV19" t="s">
        <v>449</v>
      </c>
    </row>
    <row r="20" spans="1:284" ht="15" x14ac:dyDescent="0.25">
      <c r="A20" s="52" t="s">
        <v>27</v>
      </c>
      <c r="B20" s="33">
        <v>240</v>
      </c>
      <c r="C20" s="33"/>
      <c r="D20" s="33"/>
      <c r="E20" s="33"/>
      <c r="F20" s="33">
        <v>240</v>
      </c>
      <c r="G20" s="33"/>
      <c r="H20" s="33"/>
      <c r="I20" s="33"/>
      <c r="J20" s="33">
        <v>240</v>
      </c>
      <c r="K20" s="33"/>
      <c r="L20" s="33"/>
      <c r="M20" s="33"/>
      <c r="N20" s="33">
        <v>240</v>
      </c>
      <c r="O20" s="33"/>
      <c r="P20" s="33"/>
      <c r="Q20" s="33"/>
      <c r="R20" s="33">
        <v>240</v>
      </c>
      <c r="S20" s="33"/>
      <c r="T20" s="33"/>
      <c r="U20" s="33"/>
      <c r="V20" s="33">
        <v>240</v>
      </c>
      <c r="W20" s="33"/>
      <c r="X20" s="33"/>
      <c r="Y20" s="33"/>
      <c r="Z20" s="33">
        <v>240</v>
      </c>
      <c r="AA20" s="33"/>
      <c r="AB20" s="33"/>
      <c r="AC20" s="33"/>
      <c r="AD20" s="33">
        <v>240</v>
      </c>
      <c r="AE20" s="33"/>
      <c r="AF20" s="33"/>
      <c r="AG20" s="33"/>
      <c r="AH20" s="33">
        <v>240</v>
      </c>
      <c r="AI20" s="33"/>
      <c r="AJ20" s="33"/>
      <c r="AK20" s="33"/>
      <c r="AL20" s="33">
        <v>240</v>
      </c>
      <c r="AM20" s="33"/>
      <c r="AN20" s="33"/>
      <c r="AO20" s="33"/>
      <c r="AP20" s="33" t="s">
        <v>630</v>
      </c>
      <c r="AQ20" s="33"/>
      <c r="AR20" s="33"/>
      <c r="AS20" s="33"/>
      <c r="AT20" s="33" t="s">
        <v>630</v>
      </c>
      <c r="AU20" s="33"/>
      <c r="AV20" s="33"/>
      <c r="AW20" s="33"/>
      <c r="AX20" s="33" t="s">
        <v>630</v>
      </c>
      <c r="AY20" s="33"/>
      <c r="AZ20" s="33"/>
      <c r="BA20" s="33"/>
      <c r="BB20" s="33" t="s">
        <v>630</v>
      </c>
      <c r="BC20" s="33"/>
      <c r="BD20" s="33"/>
      <c r="BF20" s="33"/>
      <c r="BN20" s="33"/>
      <c r="BV20" s="33">
        <v>150</v>
      </c>
      <c r="BZ20" s="33"/>
      <c r="CD20" s="33"/>
      <c r="CH20" s="33"/>
      <c r="CL20" s="33"/>
      <c r="CP20" s="33"/>
      <c r="CT20" s="33"/>
      <c r="CX20" s="33"/>
      <c r="DB20" s="33"/>
      <c r="DF20" s="33"/>
      <c r="DJ20" s="33"/>
      <c r="DN20" s="33"/>
      <c r="DR20" s="33"/>
      <c r="DV20" s="33"/>
      <c r="DZ20" s="33"/>
      <c r="ED20" s="33"/>
      <c r="EH20" s="33" t="s">
        <v>579</v>
      </c>
      <c r="EL20" s="33" t="s">
        <v>579</v>
      </c>
      <c r="GD20">
        <v>100</v>
      </c>
      <c r="GH20">
        <v>100</v>
      </c>
      <c r="GL20">
        <v>100</v>
      </c>
      <c r="GP20">
        <v>100</v>
      </c>
      <c r="GT20">
        <v>100</v>
      </c>
      <c r="GX20">
        <v>100</v>
      </c>
      <c r="HB20">
        <v>100</v>
      </c>
      <c r="HF20">
        <v>100</v>
      </c>
      <c r="JB20">
        <v>128</v>
      </c>
      <c r="JF20">
        <v>128</v>
      </c>
      <c r="JJ20">
        <v>128</v>
      </c>
      <c r="JN20">
        <v>128</v>
      </c>
      <c r="JR20">
        <v>200</v>
      </c>
      <c r="JV20">
        <v>200</v>
      </c>
    </row>
    <row r="21" spans="1:284" ht="15" x14ac:dyDescent="0.25">
      <c r="A21" s="52" t="s">
        <v>568</v>
      </c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>
        <v>66</v>
      </c>
      <c r="AQ21" s="33"/>
      <c r="AR21" s="33"/>
      <c r="AS21" s="33"/>
      <c r="AT21" s="33">
        <v>66</v>
      </c>
      <c r="AU21" s="33"/>
      <c r="AV21" s="33"/>
      <c r="AW21" s="33"/>
      <c r="AX21" s="33">
        <v>66</v>
      </c>
      <c r="AY21" s="33"/>
      <c r="AZ21" s="33"/>
      <c r="BA21" s="33"/>
      <c r="BB21" s="33">
        <v>66</v>
      </c>
      <c r="BC21" s="33"/>
      <c r="BD21" s="33"/>
      <c r="BF21" s="33"/>
      <c r="BN21" s="33"/>
      <c r="BV21" s="33"/>
      <c r="BZ21" s="33"/>
      <c r="CD21" s="33"/>
      <c r="CH21" s="33"/>
      <c r="CL21" s="33"/>
      <c r="CP21" s="33"/>
      <c r="CT21" s="33"/>
      <c r="CX21" s="33"/>
      <c r="DB21" s="33"/>
      <c r="DF21" s="33"/>
      <c r="DJ21" s="33"/>
      <c r="DN21" s="33"/>
      <c r="DR21" s="33"/>
      <c r="DV21" s="33"/>
      <c r="DZ21" s="33"/>
      <c r="ED21" s="33"/>
      <c r="EH21" s="33">
        <v>30</v>
      </c>
      <c r="EL21" s="33">
        <v>30</v>
      </c>
      <c r="EP21">
        <v>13.5</v>
      </c>
      <c r="ET21">
        <v>13.5</v>
      </c>
      <c r="EX21">
        <v>13.5</v>
      </c>
      <c r="FB21">
        <v>13.5</v>
      </c>
      <c r="FF21">
        <v>13.5</v>
      </c>
      <c r="FJ21">
        <v>13.5</v>
      </c>
    </row>
    <row r="22" spans="1:284" ht="15" x14ac:dyDescent="0.25">
      <c r="A22" s="40" t="s">
        <v>12</v>
      </c>
      <c r="B22" s="33">
        <v>1</v>
      </c>
      <c r="C22" s="33"/>
      <c r="D22" s="33"/>
      <c r="E22" s="33"/>
      <c r="F22" s="33">
        <v>1</v>
      </c>
      <c r="G22" s="33"/>
      <c r="H22" s="33"/>
      <c r="I22" s="33"/>
      <c r="J22" s="33">
        <v>1</v>
      </c>
      <c r="K22" s="33"/>
      <c r="L22" s="33"/>
      <c r="M22" s="33"/>
      <c r="N22" s="33">
        <v>1</v>
      </c>
      <c r="O22" s="33"/>
      <c r="P22" s="33"/>
      <c r="Q22" s="33"/>
      <c r="R22" s="33">
        <v>1</v>
      </c>
      <c r="S22" s="33"/>
      <c r="T22" s="33"/>
      <c r="U22" s="33"/>
      <c r="V22" s="33">
        <v>1</v>
      </c>
      <c r="W22" s="33"/>
      <c r="X22" s="33"/>
      <c r="Y22" s="33"/>
      <c r="Z22" s="33">
        <v>1</v>
      </c>
      <c r="AA22" s="33"/>
      <c r="AB22" s="33"/>
      <c r="AC22" s="33"/>
      <c r="AD22" s="33">
        <v>1</v>
      </c>
      <c r="AE22" s="33"/>
      <c r="AF22" s="33"/>
      <c r="AG22" s="33"/>
      <c r="AH22" s="33">
        <v>8</v>
      </c>
      <c r="AI22" s="33"/>
      <c r="AJ22" s="33"/>
      <c r="AK22" s="33"/>
      <c r="AL22" s="33">
        <v>8</v>
      </c>
      <c r="AM22" s="33"/>
      <c r="AN22" s="33"/>
      <c r="AO22" s="33"/>
      <c r="AP22" s="33">
        <v>1</v>
      </c>
      <c r="AQ22" s="33"/>
      <c r="AR22" s="33"/>
      <c r="AS22" s="33"/>
      <c r="AT22" s="33">
        <v>1</v>
      </c>
      <c r="AU22" s="33"/>
      <c r="AV22" s="33"/>
      <c r="AW22" s="33"/>
      <c r="AX22" s="33">
        <v>1</v>
      </c>
      <c r="AY22" s="33"/>
      <c r="AZ22" s="33"/>
      <c r="BA22" s="33"/>
      <c r="BB22" s="33">
        <v>1</v>
      </c>
      <c r="BC22" s="33"/>
      <c r="BD22" s="33"/>
      <c r="BF22" s="33">
        <v>1</v>
      </c>
      <c r="BJ22">
        <v>1</v>
      </c>
      <c r="BN22" s="33">
        <v>1</v>
      </c>
      <c r="BR22">
        <v>1</v>
      </c>
      <c r="BV22" s="33">
        <v>1</v>
      </c>
      <c r="BZ22" s="33">
        <v>1</v>
      </c>
      <c r="CD22" s="33">
        <v>1</v>
      </c>
      <c r="CH22" s="33">
        <v>1</v>
      </c>
      <c r="CL22" s="33">
        <v>1</v>
      </c>
      <c r="CP22" s="33">
        <v>1</v>
      </c>
      <c r="CT22" s="33">
        <v>1</v>
      </c>
      <c r="CX22" s="33">
        <v>1</v>
      </c>
      <c r="DB22" s="33">
        <v>1</v>
      </c>
      <c r="DF22" s="33">
        <v>1</v>
      </c>
      <c r="DJ22" s="33">
        <v>8</v>
      </c>
      <c r="DN22" s="33">
        <v>8</v>
      </c>
      <c r="DR22" s="33">
        <v>1</v>
      </c>
      <c r="DV22" s="33">
        <v>1</v>
      </c>
      <c r="DZ22" s="33">
        <v>1</v>
      </c>
      <c r="ED22" s="33">
        <v>1</v>
      </c>
      <c r="EH22" s="33">
        <v>1</v>
      </c>
      <c r="EL22" s="33">
        <v>1</v>
      </c>
      <c r="EP22">
        <v>1</v>
      </c>
      <c r="ET22">
        <v>1</v>
      </c>
      <c r="EX22">
        <v>1</v>
      </c>
      <c r="FB22">
        <v>1</v>
      </c>
      <c r="FF22">
        <v>1</v>
      </c>
      <c r="FJ22">
        <v>12</v>
      </c>
      <c r="FN22">
        <v>1</v>
      </c>
      <c r="FR22">
        <v>1</v>
      </c>
      <c r="FV22">
        <v>1</v>
      </c>
      <c r="FZ22">
        <v>1</v>
      </c>
      <c r="GD22">
        <v>1</v>
      </c>
      <c r="GH22">
        <v>1</v>
      </c>
      <c r="GL22">
        <v>1</v>
      </c>
      <c r="GP22">
        <v>1</v>
      </c>
      <c r="GT22">
        <v>1</v>
      </c>
      <c r="GX22">
        <v>1</v>
      </c>
      <c r="HB22">
        <v>1</v>
      </c>
      <c r="HF22">
        <v>1</v>
      </c>
      <c r="HJ22">
        <v>1</v>
      </c>
      <c r="HN22">
        <v>1</v>
      </c>
      <c r="HR22">
        <v>1</v>
      </c>
      <c r="HV22">
        <v>1</v>
      </c>
      <c r="HZ22">
        <v>1</v>
      </c>
      <c r="ID22">
        <v>1</v>
      </c>
      <c r="IH22">
        <v>1</v>
      </c>
      <c r="IL22">
        <v>1</v>
      </c>
      <c r="IP22">
        <v>1</v>
      </c>
      <c r="IT22">
        <v>1</v>
      </c>
      <c r="IX22">
        <v>1</v>
      </c>
      <c r="JB22">
        <v>1</v>
      </c>
      <c r="JF22">
        <v>7</v>
      </c>
      <c r="JJ22">
        <v>1</v>
      </c>
      <c r="JN22">
        <v>7</v>
      </c>
      <c r="JR22">
        <v>1</v>
      </c>
      <c r="JV22">
        <v>1</v>
      </c>
    </row>
    <row r="23" spans="1:284" ht="15" x14ac:dyDescent="0.25">
      <c r="A23" s="88" t="s">
        <v>390</v>
      </c>
      <c r="B23">
        <v>11</v>
      </c>
      <c r="F23">
        <v>11</v>
      </c>
      <c r="J23">
        <v>11</v>
      </c>
      <c r="N23">
        <v>11</v>
      </c>
      <c r="R23">
        <v>6</v>
      </c>
      <c r="V23">
        <v>6</v>
      </c>
      <c r="Z23">
        <v>6</v>
      </c>
      <c r="AD23">
        <v>6</v>
      </c>
      <c r="AH23">
        <v>6</v>
      </c>
      <c r="AL23">
        <v>6</v>
      </c>
      <c r="AP23">
        <v>5</v>
      </c>
      <c r="AT23">
        <v>6</v>
      </c>
      <c r="AX23">
        <v>5</v>
      </c>
      <c r="BB23">
        <v>6</v>
      </c>
      <c r="BF23">
        <v>6</v>
      </c>
      <c r="BJ23">
        <v>6</v>
      </c>
      <c r="BN23">
        <v>6</v>
      </c>
      <c r="BR23">
        <v>6</v>
      </c>
      <c r="BV23">
        <v>6</v>
      </c>
      <c r="BZ23">
        <v>6</v>
      </c>
      <c r="CD23">
        <v>6</v>
      </c>
      <c r="CH23">
        <v>6</v>
      </c>
      <c r="CL23">
        <v>7</v>
      </c>
      <c r="CP23">
        <v>7</v>
      </c>
      <c r="CT23">
        <v>7</v>
      </c>
      <c r="CX23">
        <v>9</v>
      </c>
      <c r="DB23">
        <v>6</v>
      </c>
      <c r="DF23">
        <v>6</v>
      </c>
      <c r="DJ23">
        <v>6</v>
      </c>
      <c r="DN23">
        <v>6</v>
      </c>
      <c r="ED23">
        <v>6</v>
      </c>
      <c r="EH23">
        <v>4</v>
      </c>
      <c r="EL23">
        <v>4</v>
      </c>
      <c r="EP23">
        <v>4</v>
      </c>
      <c r="ET23">
        <v>4</v>
      </c>
      <c r="EX23">
        <v>4</v>
      </c>
      <c r="FB23">
        <v>4</v>
      </c>
      <c r="FF23">
        <v>4</v>
      </c>
      <c r="FJ23">
        <v>4</v>
      </c>
      <c r="FN23">
        <v>4</v>
      </c>
      <c r="FR23">
        <v>4</v>
      </c>
      <c r="FV23">
        <v>4</v>
      </c>
      <c r="FZ23">
        <v>4</v>
      </c>
      <c r="GD23">
        <v>8</v>
      </c>
      <c r="GH23">
        <v>8</v>
      </c>
      <c r="GL23">
        <v>8</v>
      </c>
      <c r="GP23">
        <v>8</v>
      </c>
      <c r="GT23">
        <v>8</v>
      </c>
      <c r="GX23">
        <v>8</v>
      </c>
      <c r="HB23">
        <v>8</v>
      </c>
      <c r="HF23">
        <v>8</v>
      </c>
      <c r="HJ23">
        <v>12</v>
      </c>
      <c r="HN23">
        <v>12</v>
      </c>
      <c r="HR23">
        <v>10</v>
      </c>
      <c r="HV23">
        <v>10</v>
      </c>
      <c r="HZ23">
        <v>8</v>
      </c>
      <c r="ID23">
        <v>8</v>
      </c>
      <c r="IH23">
        <v>8</v>
      </c>
      <c r="IL23">
        <v>8</v>
      </c>
      <c r="IP23">
        <v>8</v>
      </c>
      <c r="IT23">
        <v>12</v>
      </c>
      <c r="IX23">
        <v>12</v>
      </c>
      <c r="JB23">
        <v>10</v>
      </c>
      <c r="JF23">
        <v>10</v>
      </c>
      <c r="JJ23">
        <v>10</v>
      </c>
      <c r="JN23">
        <v>10</v>
      </c>
      <c r="JR23">
        <v>10</v>
      </c>
      <c r="JV23">
        <v>10</v>
      </c>
    </row>
    <row r="24" spans="1:284" ht="15" x14ac:dyDescent="0.2">
      <c r="A24" s="51" t="s">
        <v>31</v>
      </c>
      <c r="B24" s="31" t="s">
        <v>17</v>
      </c>
      <c r="C24" s="32" t="s">
        <v>91</v>
      </c>
      <c r="D24" t="s">
        <v>371</v>
      </c>
      <c r="F24" s="91" t="s">
        <v>17</v>
      </c>
      <c r="G24" s="32" t="s">
        <v>91</v>
      </c>
      <c r="H24" t="s">
        <v>371</v>
      </c>
      <c r="J24" s="91" t="s">
        <v>17</v>
      </c>
      <c r="K24" s="32" t="s">
        <v>91</v>
      </c>
      <c r="L24" t="s">
        <v>371</v>
      </c>
      <c r="N24" s="91" t="s">
        <v>17</v>
      </c>
      <c r="O24" s="32" t="s">
        <v>91</v>
      </c>
      <c r="P24" t="s">
        <v>371</v>
      </c>
      <c r="R24" s="91" t="s">
        <v>17</v>
      </c>
      <c r="S24" s="32" t="s">
        <v>91</v>
      </c>
      <c r="T24" t="s">
        <v>371</v>
      </c>
      <c r="V24" s="91" t="s">
        <v>17</v>
      </c>
      <c r="W24" s="32" t="s">
        <v>91</v>
      </c>
      <c r="X24" t="s">
        <v>371</v>
      </c>
      <c r="Z24" s="91" t="s">
        <v>17</v>
      </c>
      <c r="AA24" s="32" t="s">
        <v>91</v>
      </c>
      <c r="AB24" t="s">
        <v>371</v>
      </c>
      <c r="AD24" s="91" t="s">
        <v>17</v>
      </c>
      <c r="AE24" s="32" t="s">
        <v>91</v>
      </c>
      <c r="AF24" t="s">
        <v>371</v>
      </c>
      <c r="AH24" s="91" t="s">
        <v>17</v>
      </c>
      <c r="AI24" s="32" t="s">
        <v>91</v>
      </c>
      <c r="AJ24" t="s">
        <v>371</v>
      </c>
      <c r="AL24" s="91" t="s">
        <v>17</v>
      </c>
      <c r="AM24" s="32" t="s">
        <v>91</v>
      </c>
      <c r="AN24" t="s">
        <v>371</v>
      </c>
      <c r="AP24" s="91" t="s">
        <v>17</v>
      </c>
      <c r="AQ24" s="32" t="s">
        <v>91</v>
      </c>
      <c r="AR24" t="s">
        <v>371</v>
      </c>
      <c r="AT24" s="91" t="s">
        <v>17</v>
      </c>
      <c r="AU24" s="32" t="s">
        <v>91</v>
      </c>
      <c r="AV24" t="s">
        <v>371</v>
      </c>
      <c r="AX24" s="91" t="s">
        <v>17</v>
      </c>
      <c r="AY24" s="32" t="s">
        <v>91</v>
      </c>
      <c r="AZ24" t="s">
        <v>371</v>
      </c>
      <c r="BB24" s="91" t="s">
        <v>17</v>
      </c>
      <c r="BC24" s="32" t="s">
        <v>91</v>
      </c>
      <c r="BD24" t="s">
        <v>371</v>
      </c>
      <c r="BF24" s="91" t="s">
        <v>17</v>
      </c>
      <c r="BG24" s="32" t="s">
        <v>91</v>
      </c>
      <c r="BH24" t="s">
        <v>371</v>
      </c>
      <c r="BJ24" s="91" t="s">
        <v>17</v>
      </c>
      <c r="BK24" s="32" t="s">
        <v>91</v>
      </c>
      <c r="BL24" t="s">
        <v>371</v>
      </c>
      <c r="BN24" s="91" t="s">
        <v>17</v>
      </c>
      <c r="BO24" s="32" t="s">
        <v>91</v>
      </c>
      <c r="BP24" t="s">
        <v>371</v>
      </c>
      <c r="BR24" s="91" t="s">
        <v>17</v>
      </c>
      <c r="BS24" s="32" t="s">
        <v>91</v>
      </c>
      <c r="BT24" t="s">
        <v>371</v>
      </c>
      <c r="BV24" s="91" t="s">
        <v>17</v>
      </c>
      <c r="BW24" s="32" t="s">
        <v>91</v>
      </c>
      <c r="BX24" t="s">
        <v>371</v>
      </c>
      <c r="BZ24" s="91" t="s">
        <v>17</v>
      </c>
      <c r="CA24" s="32" t="s">
        <v>91</v>
      </c>
      <c r="CB24" t="s">
        <v>371</v>
      </c>
      <c r="CD24" s="91" t="s">
        <v>17</v>
      </c>
      <c r="CE24" s="32" t="s">
        <v>91</v>
      </c>
      <c r="CF24" t="s">
        <v>371</v>
      </c>
      <c r="CH24" s="91" t="s">
        <v>17</v>
      </c>
      <c r="CI24" s="32" t="s">
        <v>91</v>
      </c>
      <c r="CJ24" t="s">
        <v>371</v>
      </c>
      <c r="CL24" s="91" t="s">
        <v>17</v>
      </c>
      <c r="CM24" s="32" t="s">
        <v>91</v>
      </c>
      <c r="CN24" t="s">
        <v>371</v>
      </c>
      <c r="CP24" s="91" t="s">
        <v>17</v>
      </c>
      <c r="CQ24" s="32" t="s">
        <v>91</v>
      </c>
      <c r="CR24" t="s">
        <v>371</v>
      </c>
      <c r="CT24" s="91" t="s">
        <v>17</v>
      </c>
      <c r="CU24" s="32" t="s">
        <v>91</v>
      </c>
      <c r="CV24" t="s">
        <v>371</v>
      </c>
      <c r="CX24" s="91" t="s">
        <v>17</v>
      </c>
      <c r="CY24" s="32" t="s">
        <v>91</v>
      </c>
      <c r="CZ24" t="s">
        <v>371</v>
      </c>
      <c r="DB24" s="91" t="s">
        <v>17</v>
      </c>
      <c r="DC24" s="32" t="s">
        <v>91</v>
      </c>
      <c r="DD24" t="s">
        <v>371</v>
      </c>
      <c r="DF24" s="91" t="s">
        <v>17</v>
      </c>
      <c r="DG24" s="32" t="s">
        <v>91</v>
      </c>
      <c r="DH24" t="s">
        <v>371</v>
      </c>
      <c r="DJ24" s="91" t="s">
        <v>17</v>
      </c>
      <c r="DK24" s="32" t="s">
        <v>91</v>
      </c>
      <c r="DL24" t="s">
        <v>371</v>
      </c>
      <c r="DN24" s="91" t="s">
        <v>17</v>
      </c>
      <c r="DO24" s="32" t="s">
        <v>91</v>
      </c>
      <c r="DP24" t="s">
        <v>371</v>
      </c>
      <c r="DR24" s="91" t="s">
        <v>17</v>
      </c>
      <c r="DS24" s="32" t="s">
        <v>91</v>
      </c>
      <c r="DT24" t="s">
        <v>371</v>
      </c>
      <c r="DV24" s="91" t="s">
        <v>17</v>
      </c>
      <c r="DW24" s="32" t="s">
        <v>91</v>
      </c>
      <c r="DX24" t="s">
        <v>371</v>
      </c>
      <c r="DZ24" s="91" t="s">
        <v>17</v>
      </c>
      <c r="EA24" s="32" t="s">
        <v>91</v>
      </c>
      <c r="EB24" t="s">
        <v>371</v>
      </c>
      <c r="ED24" s="91" t="s">
        <v>17</v>
      </c>
      <c r="EE24" s="32" t="s">
        <v>91</v>
      </c>
      <c r="EF24" t="s">
        <v>371</v>
      </c>
      <c r="EH24" s="91" t="s">
        <v>17</v>
      </c>
      <c r="EI24" s="32" t="s">
        <v>91</v>
      </c>
      <c r="EJ24" t="s">
        <v>371</v>
      </c>
      <c r="EL24" s="91" t="s">
        <v>17</v>
      </c>
      <c r="EM24" s="32" t="s">
        <v>91</v>
      </c>
      <c r="EN24" t="s">
        <v>371</v>
      </c>
      <c r="EP24" s="91" t="s">
        <v>17</v>
      </c>
      <c r="EQ24" s="32" t="s">
        <v>91</v>
      </c>
      <c r="ER24" t="s">
        <v>371</v>
      </c>
      <c r="ET24" s="91" t="s">
        <v>17</v>
      </c>
      <c r="EU24" s="32" t="s">
        <v>91</v>
      </c>
      <c r="EV24" t="s">
        <v>371</v>
      </c>
      <c r="EX24" s="91" t="s">
        <v>17</v>
      </c>
      <c r="EY24" s="32" t="s">
        <v>91</v>
      </c>
      <c r="EZ24" t="s">
        <v>371</v>
      </c>
      <c r="FB24" s="91" t="s">
        <v>17</v>
      </c>
      <c r="FC24" s="32" t="s">
        <v>91</v>
      </c>
      <c r="FD24" t="s">
        <v>371</v>
      </c>
      <c r="FF24" s="91" t="s">
        <v>17</v>
      </c>
      <c r="FG24" s="32" t="s">
        <v>91</v>
      </c>
      <c r="FH24" t="s">
        <v>371</v>
      </c>
      <c r="FJ24" s="91" t="s">
        <v>17</v>
      </c>
      <c r="FK24" s="32" t="s">
        <v>91</v>
      </c>
      <c r="FL24" t="s">
        <v>371</v>
      </c>
      <c r="FN24" s="91" t="s">
        <v>17</v>
      </c>
      <c r="FO24" s="32" t="s">
        <v>91</v>
      </c>
      <c r="FP24" t="s">
        <v>371</v>
      </c>
      <c r="FR24" s="91" t="s">
        <v>17</v>
      </c>
      <c r="FS24" s="32" t="s">
        <v>91</v>
      </c>
      <c r="FT24" t="s">
        <v>371</v>
      </c>
      <c r="FV24" s="91" t="s">
        <v>17</v>
      </c>
      <c r="FW24" s="32" t="s">
        <v>91</v>
      </c>
      <c r="FX24" t="s">
        <v>371</v>
      </c>
      <c r="FZ24" s="91" t="s">
        <v>17</v>
      </c>
      <c r="GA24" s="32" t="s">
        <v>91</v>
      </c>
      <c r="GB24" t="s">
        <v>371</v>
      </c>
      <c r="GD24" s="91" t="s">
        <v>17</v>
      </c>
      <c r="GE24" s="32" t="s">
        <v>91</v>
      </c>
      <c r="GF24" t="s">
        <v>371</v>
      </c>
      <c r="GH24" s="91" t="s">
        <v>17</v>
      </c>
      <c r="GI24" s="32" t="s">
        <v>91</v>
      </c>
      <c r="GJ24" t="s">
        <v>371</v>
      </c>
      <c r="GL24" s="91" t="s">
        <v>17</v>
      </c>
      <c r="GM24" s="32" t="s">
        <v>91</v>
      </c>
      <c r="GN24" t="s">
        <v>371</v>
      </c>
      <c r="GP24" s="91" t="s">
        <v>17</v>
      </c>
      <c r="GQ24" s="32" t="s">
        <v>91</v>
      </c>
      <c r="GR24" t="s">
        <v>371</v>
      </c>
      <c r="GT24" s="91" t="s">
        <v>17</v>
      </c>
      <c r="GU24" s="32" t="s">
        <v>91</v>
      </c>
      <c r="GV24" t="s">
        <v>371</v>
      </c>
      <c r="GX24" s="91" t="s">
        <v>17</v>
      </c>
      <c r="GY24" s="32" t="s">
        <v>91</v>
      </c>
      <c r="GZ24" t="s">
        <v>371</v>
      </c>
      <c r="HB24" s="91" t="s">
        <v>17</v>
      </c>
      <c r="HC24" s="32" t="s">
        <v>91</v>
      </c>
      <c r="HD24" t="s">
        <v>371</v>
      </c>
      <c r="HF24" s="91" t="s">
        <v>17</v>
      </c>
      <c r="HG24" s="32" t="s">
        <v>91</v>
      </c>
      <c r="HH24" t="s">
        <v>371</v>
      </c>
      <c r="HJ24" s="91" t="s">
        <v>17</v>
      </c>
      <c r="HK24" s="32" t="s">
        <v>91</v>
      </c>
      <c r="HL24" t="s">
        <v>371</v>
      </c>
      <c r="HN24" s="91" t="s">
        <v>17</v>
      </c>
      <c r="HO24" s="32" t="s">
        <v>91</v>
      </c>
      <c r="HP24" t="s">
        <v>371</v>
      </c>
      <c r="HR24" s="91" t="s">
        <v>17</v>
      </c>
      <c r="HS24" s="32" t="s">
        <v>91</v>
      </c>
      <c r="HT24" t="s">
        <v>371</v>
      </c>
      <c r="HV24" s="91" t="s">
        <v>17</v>
      </c>
      <c r="HW24" s="32" t="s">
        <v>91</v>
      </c>
      <c r="HX24" t="s">
        <v>371</v>
      </c>
      <c r="HZ24" s="91" t="s">
        <v>17</v>
      </c>
      <c r="IA24" s="32" t="s">
        <v>91</v>
      </c>
      <c r="IB24" t="s">
        <v>371</v>
      </c>
      <c r="ID24" s="91" t="s">
        <v>17</v>
      </c>
      <c r="IE24" s="32" t="s">
        <v>91</v>
      </c>
      <c r="IF24" t="s">
        <v>371</v>
      </c>
      <c r="IH24" s="91" t="s">
        <v>17</v>
      </c>
      <c r="II24" s="32" t="s">
        <v>91</v>
      </c>
      <c r="IJ24" t="s">
        <v>371</v>
      </c>
      <c r="IL24" s="91" t="s">
        <v>17</v>
      </c>
      <c r="IM24" s="32" t="s">
        <v>91</v>
      </c>
      <c r="IN24" t="s">
        <v>371</v>
      </c>
      <c r="IP24" s="91" t="s">
        <v>17</v>
      </c>
      <c r="IQ24" s="32" t="s">
        <v>91</v>
      </c>
      <c r="IR24" t="s">
        <v>371</v>
      </c>
      <c r="IT24" s="91" t="s">
        <v>17</v>
      </c>
      <c r="IU24" s="32" t="s">
        <v>91</v>
      </c>
      <c r="IV24" t="s">
        <v>371</v>
      </c>
      <c r="IX24" s="91" t="s">
        <v>17</v>
      </c>
      <c r="IY24" s="32" t="s">
        <v>91</v>
      </c>
      <c r="IZ24" t="s">
        <v>371</v>
      </c>
      <c r="JB24" s="91" t="s">
        <v>17</v>
      </c>
      <c r="JC24" s="32" t="s">
        <v>91</v>
      </c>
      <c r="JD24" t="s">
        <v>371</v>
      </c>
      <c r="JF24" s="91" t="s">
        <v>17</v>
      </c>
      <c r="JG24" s="32" t="s">
        <v>91</v>
      </c>
      <c r="JH24" t="s">
        <v>371</v>
      </c>
      <c r="JJ24" s="91" t="s">
        <v>17</v>
      </c>
      <c r="JK24" s="32" t="s">
        <v>91</v>
      </c>
      <c r="JL24" t="s">
        <v>371</v>
      </c>
      <c r="JN24" s="91" t="s">
        <v>17</v>
      </c>
      <c r="JO24" s="32" t="s">
        <v>91</v>
      </c>
      <c r="JP24" t="s">
        <v>371</v>
      </c>
      <c r="JR24" s="91" t="s">
        <v>17</v>
      </c>
      <c r="JS24" s="32" t="s">
        <v>91</v>
      </c>
      <c r="JT24" t="s">
        <v>371</v>
      </c>
      <c r="JV24" s="91" t="s">
        <v>17</v>
      </c>
      <c r="JW24" s="32" t="s">
        <v>91</v>
      </c>
      <c r="JX24" t="s">
        <v>371</v>
      </c>
    </row>
    <row r="25" spans="1:284" ht="28.5" x14ac:dyDescent="0.2">
      <c r="A25" s="74" t="s">
        <v>399</v>
      </c>
      <c r="B25" s="233">
        <f>0.2674*B34/1000</f>
        <v>5.3747400000000008E-2</v>
      </c>
      <c r="C25" s="90">
        <f>100/B25*D25</f>
        <v>53.233830845771145</v>
      </c>
      <c r="D25" s="243">
        <f>0.2674*D34/1000</f>
        <v>2.8611800000000003E-2</v>
      </c>
      <c r="F25" s="233">
        <f>0.2674*F34/1000</f>
        <v>3.6633800000000001E-2</v>
      </c>
      <c r="G25" s="90">
        <f>100/F25*H25</f>
        <v>75.912408759124091</v>
      </c>
      <c r="H25" s="243">
        <f>0.2674*H34/1000</f>
        <v>2.7809600000000004E-2</v>
      </c>
      <c r="I25" s="35"/>
      <c r="J25" s="233">
        <f>0.2674*J34/1000</f>
        <v>4.9469000000000006E-2</v>
      </c>
      <c r="K25" s="90">
        <f>100/J25*L25</f>
        <v>55.13513513513513</v>
      </c>
      <c r="L25" s="243">
        <f>0.2674*L34/1000</f>
        <v>2.7274800000000002E-2</v>
      </c>
      <c r="M25" s="34"/>
      <c r="N25" s="233">
        <f>0.2674*N34/1000</f>
        <v>0.10508820000000002</v>
      </c>
      <c r="O25" s="90">
        <f>100/N25*P25</f>
        <v>50.890585241730271</v>
      </c>
      <c r="P25" s="243">
        <f>0.2674*P34/1000</f>
        <v>5.3480000000000007E-2</v>
      </c>
      <c r="Q25" s="35"/>
      <c r="R25" s="34">
        <v>0.122</v>
      </c>
      <c r="S25" s="34"/>
      <c r="T25" s="35">
        <v>5.5E-2</v>
      </c>
      <c r="U25" s="35"/>
      <c r="V25" s="33">
        <v>0.155</v>
      </c>
      <c r="X25" s="33">
        <v>0.105</v>
      </c>
      <c r="Y25" s="33"/>
      <c r="Z25" s="34">
        <v>0.13800000000000001</v>
      </c>
      <c r="AA25" s="90">
        <f>100/Z25*AB25</f>
        <v>73.188405797101453</v>
      </c>
      <c r="AB25" s="35">
        <v>0.10100000000000001</v>
      </c>
      <c r="AC25" s="35"/>
      <c r="AD25" s="34">
        <v>0.123</v>
      </c>
      <c r="AE25" s="90">
        <f>100/AD25*AF25</f>
        <v>52.845528455284551</v>
      </c>
      <c r="AF25" s="35">
        <v>6.5000000000000002E-2</v>
      </c>
      <c r="AG25" s="35"/>
      <c r="AH25" s="34">
        <v>0.20200000000000001</v>
      </c>
      <c r="AI25" s="90">
        <f>100/AH25*AJ25</f>
        <v>36.138613861386133</v>
      </c>
      <c r="AJ25" s="35">
        <v>7.2999999999999995E-2</v>
      </c>
      <c r="AK25" s="35"/>
      <c r="AL25" s="34">
        <v>0.20200000000000001</v>
      </c>
      <c r="AM25" s="90">
        <f>100/AL25*AN25</f>
        <v>34.158415841584159</v>
      </c>
      <c r="AN25" s="35">
        <v>6.9000000000000006E-2</v>
      </c>
      <c r="AO25" s="35"/>
      <c r="AP25" s="207">
        <v>1.7999999999999999E-2</v>
      </c>
      <c r="AQ25" s="90">
        <f>100/AP25*AR25</f>
        <v>0</v>
      </c>
      <c r="AR25" s="35"/>
      <c r="AS25" s="35"/>
      <c r="AT25" s="207">
        <v>7.1700000000000002E-3</v>
      </c>
      <c r="AU25" s="90">
        <f>100/AT25*AV25</f>
        <v>0</v>
      </c>
      <c r="AV25" s="35"/>
      <c r="AW25" s="35"/>
      <c r="AX25" s="207">
        <v>5.7299999999999997E-2</v>
      </c>
      <c r="AY25" s="90">
        <f>100/AX25*AZ25</f>
        <v>0</v>
      </c>
      <c r="AZ25" s="35"/>
      <c r="BA25" s="35"/>
      <c r="BB25" s="34">
        <v>0.10299999999999999</v>
      </c>
      <c r="BC25" s="90">
        <f>100/BB25*BD25</f>
        <v>0</v>
      </c>
      <c r="BD25" s="35"/>
      <c r="BV25">
        <v>0.16550000000000001</v>
      </c>
      <c r="BW25" s="171">
        <f>100/BV25*BX25</f>
        <v>5.3776435045317221</v>
      </c>
      <c r="BX25">
        <v>8.8999999999999999E-3</v>
      </c>
      <c r="CL25">
        <v>120</v>
      </c>
      <c r="CN25">
        <v>31.5</v>
      </c>
      <c r="CP25">
        <v>91</v>
      </c>
      <c r="CR25">
        <v>32.5</v>
      </c>
      <c r="CT25">
        <v>66.2</v>
      </c>
      <c r="CV25">
        <v>15.4</v>
      </c>
      <c r="CX25">
        <v>58.6</v>
      </c>
      <c r="CZ25">
        <v>13.8</v>
      </c>
      <c r="DB25" t="s">
        <v>601</v>
      </c>
      <c r="DF25" t="s">
        <v>601</v>
      </c>
      <c r="ED25">
        <v>0.253</v>
      </c>
      <c r="EF25">
        <v>9.8900000000000002E-2</v>
      </c>
      <c r="EH25" s="33">
        <v>1.1265000000000001</v>
      </c>
      <c r="EJ25">
        <v>0.13400000000000001</v>
      </c>
      <c r="EL25" s="33">
        <v>0.49275000000000002</v>
      </c>
      <c r="EN25">
        <v>4.8899999999999999E-2</v>
      </c>
      <c r="FN25" s="175" t="s">
        <v>600</v>
      </c>
      <c r="FR25">
        <v>5.0999999999999997E-2</v>
      </c>
      <c r="FS25" s="156">
        <f>100/FR25*FT25</f>
        <v>31.372549019607845</v>
      </c>
      <c r="FT25">
        <v>1.6E-2</v>
      </c>
      <c r="FV25">
        <v>5.5E-2</v>
      </c>
      <c r="FW25" s="156">
        <f>100/FV25*FX25</f>
        <v>36.363636363636367</v>
      </c>
      <c r="FX25">
        <v>0.02</v>
      </c>
      <c r="FZ25">
        <v>6.6000000000000003E-2</v>
      </c>
      <c r="GA25" s="156">
        <f>100/FZ25*GB25</f>
        <v>39.393939393939391</v>
      </c>
      <c r="GB25">
        <v>2.5999999999999999E-2</v>
      </c>
      <c r="GD25">
        <v>8.2000000000000003E-2</v>
      </c>
      <c r="GE25" s="156"/>
      <c r="GF25">
        <v>3.8800000000000001E-2</v>
      </c>
      <c r="GH25">
        <v>8.6300000000000002E-2</v>
      </c>
      <c r="GI25" s="156"/>
      <c r="GJ25">
        <v>4.0599999999999997E-2</v>
      </c>
      <c r="GL25">
        <v>8.1000000000000003E-2</v>
      </c>
      <c r="GM25" s="156"/>
      <c r="GN25">
        <v>4.3200000000000002E-2</v>
      </c>
      <c r="GP25">
        <v>8.7400000000000005E-2</v>
      </c>
      <c r="GQ25" s="156"/>
      <c r="GR25">
        <v>5.3999999999999999E-2</v>
      </c>
      <c r="GT25">
        <v>6.25E-2</v>
      </c>
      <c r="GU25" s="156"/>
      <c r="GV25">
        <v>1.15E-2</v>
      </c>
      <c r="GX25">
        <v>6.25E-2</v>
      </c>
      <c r="GY25" s="156"/>
      <c r="GZ25">
        <v>1.4500000000000001E-2</v>
      </c>
      <c r="HB25">
        <v>6.1899999999999997E-2</v>
      </c>
      <c r="HC25" s="156"/>
      <c r="HD25">
        <v>1.6199999999999999E-2</v>
      </c>
      <c r="HF25">
        <v>7.0499999999999993E-2</v>
      </c>
      <c r="HG25" s="156"/>
      <c r="HH25">
        <v>1.5900000000000001E-2</v>
      </c>
      <c r="HK25" s="156"/>
      <c r="HO25" s="156"/>
      <c r="HR25">
        <v>63.9</v>
      </c>
      <c r="HS25" s="156"/>
      <c r="HV25">
        <v>35.299999999999997</v>
      </c>
      <c r="HW25" s="156"/>
      <c r="HZ25">
        <v>18</v>
      </c>
      <c r="IA25" s="156"/>
      <c r="ID25">
        <v>128.9</v>
      </c>
      <c r="IE25" s="156"/>
      <c r="IH25">
        <v>151.6</v>
      </c>
      <c r="II25" s="156"/>
      <c r="IL25">
        <v>163.9</v>
      </c>
      <c r="IM25" s="156"/>
      <c r="IP25">
        <v>265.5</v>
      </c>
      <c r="IQ25" s="156"/>
      <c r="IT25">
        <v>20.9</v>
      </c>
      <c r="IU25" s="156"/>
      <c r="IX25">
        <v>17.5</v>
      </c>
      <c r="IY25" s="156"/>
      <c r="JC25" s="156"/>
      <c r="JG25" s="156"/>
      <c r="JK25" s="156"/>
      <c r="JO25" s="156"/>
      <c r="JR25">
        <v>0.11700000000000001</v>
      </c>
      <c r="JS25" s="156"/>
      <c r="JT25">
        <v>4.2999999999999997E-2</v>
      </c>
      <c r="JV25">
        <v>216</v>
      </c>
      <c r="JW25" s="156"/>
      <c r="JX25">
        <v>54</v>
      </c>
    </row>
    <row r="26" spans="1:284" x14ac:dyDescent="0.2">
      <c r="A26" s="57" t="s">
        <v>400</v>
      </c>
      <c r="B26" s="234">
        <v>6</v>
      </c>
      <c r="C26" s="34"/>
      <c r="D26" s="33"/>
      <c r="E26" s="33"/>
      <c r="F26" s="234">
        <v>12</v>
      </c>
      <c r="G26" s="34"/>
      <c r="H26" s="33"/>
      <c r="I26" s="35"/>
      <c r="J26" s="234">
        <v>1.5</v>
      </c>
      <c r="K26" s="34"/>
      <c r="L26" s="33"/>
      <c r="M26" s="34"/>
      <c r="N26" s="234">
        <v>1</v>
      </c>
      <c r="O26" s="34"/>
      <c r="P26" s="33"/>
      <c r="Q26" s="35"/>
      <c r="R26" s="34"/>
      <c r="S26" s="34"/>
      <c r="T26" s="35"/>
      <c r="U26" s="35"/>
      <c r="V26" s="34"/>
      <c r="W26" s="34"/>
      <c r="X26" s="35"/>
      <c r="Y26" s="35"/>
      <c r="Z26" s="34">
        <v>8</v>
      </c>
      <c r="AA26" s="34"/>
      <c r="AB26" s="35"/>
      <c r="AC26" s="35"/>
      <c r="AD26" s="34">
        <v>7</v>
      </c>
      <c r="AE26" s="34"/>
      <c r="AF26" s="35"/>
      <c r="AG26" s="35"/>
      <c r="AH26" s="34">
        <v>12</v>
      </c>
      <c r="AI26" s="34"/>
      <c r="AJ26" s="35"/>
      <c r="AK26" s="35"/>
      <c r="AL26" s="34">
        <v>5.5</v>
      </c>
      <c r="AM26" s="34"/>
      <c r="AN26" s="35"/>
      <c r="AO26" s="35"/>
      <c r="AP26" s="34">
        <v>0.31</v>
      </c>
      <c r="AQ26" s="34"/>
      <c r="AR26" s="35"/>
      <c r="AS26" s="35"/>
      <c r="AT26" s="34">
        <v>1</v>
      </c>
      <c r="AU26" s="34"/>
      <c r="AV26" s="35"/>
      <c r="AW26" s="35"/>
      <c r="AX26" s="34">
        <v>2</v>
      </c>
      <c r="AY26" s="34"/>
      <c r="AZ26" s="35"/>
      <c r="BA26" s="35"/>
      <c r="BB26" s="34">
        <v>1.5</v>
      </c>
      <c r="BC26" s="34"/>
      <c r="BD26" s="35"/>
      <c r="BV26">
        <v>2</v>
      </c>
      <c r="BW26" s="171">
        <f>100/BV26*BX26</f>
        <v>5</v>
      </c>
      <c r="BX26">
        <v>0.1</v>
      </c>
      <c r="CL26">
        <v>3.14</v>
      </c>
      <c r="CN26">
        <v>0.38</v>
      </c>
      <c r="CP26">
        <v>3.57</v>
      </c>
      <c r="CR26">
        <v>0.53</v>
      </c>
      <c r="CT26">
        <v>4.8600000000000003</v>
      </c>
      <c r="CV26">
        <v>1.06</v>
      </c>
      <c r="CX26">
        <v>2.0699999999999998</v>
      </c>
      <c r="CZ26">
        <v>0.53</v>
      </c>
      <c r="DB26">
        <v>2</v>
      </c>
      <c r="DF26">
        <v>12</v>
      </c>
      <c r="ED26">
        <v>3</v>
      </c>
      <c r="EH26">
        <v>1.5</v>
      </c>
      <c r="EJ26">
        <v>0.31</v>
      </c>
      <c r="EL26" s="80">
        <v>3.75</v>
      </c>
      <c r="EN26">
        <v>0.41</v>
      </c>
      <c r="FR26">
        <v>1.25</v>
      </c>
      <c r="FS26" s="156">
        <f t="shared" ref="FS26:FS29" si="0">100/FR26*FT26</f>
        <v>28</v>
      </c>
      <c r="FT26">
        <v>0.35</v>
      </c>
      <c r="FV26">
        <v>3</v>
      </c>
      <c r="FW26" s="156">
        <f t="shared" ref="FW26:FW29" si="1">100/FV26*FX26</f>
        <v>45.000000000000007</v>
      </c>
      <c r="FX26">
        <v>1.35</v>
      </c>
      <c r="FZ26">
        <v>1.63</v>
      </c>
      <c r="GA26" s="156">
        <f t="shared" ref="GA26:GA29" si="2">100/FZ26*GB26</f>
        <v>73.619631901840492</v>
      </c>
      <c r="GB26">
        <v>1.2</v>
      </c>
      <c r="GD26">
        <v>9</v>
      </c>
      <c r="GE26" s="156"/>
      <c r="GH26">
        <v>8</v>
      </c>
      <c r="GI26" s="156"/>
      <c r="GL26">
        <v>8</v>
      </c>
      <c r="GM26" s="156"/>
      <c r="GP26">
        <v>8</v>
      </c>
      <c r="GQ26" s="156"/>
      <c r="GT26">
        <v>10</v>
      </c>
      <c r="GU26" s="156"/>
      <c r="GX26">
        <v>12</v>
      </c>
      <c r="GY26" s="156"/>
      <c r="HB26">
        <v>11</v>
      </c>
      <c r="HC26" s="156"/>
      <c r="HF26">
        <v>10</v>
      </c>
      <c r="HG26" s="156"/>
      <c r="HK26" s="156"/>
      <c r="HO26" s="156"/>
      <c r="HR26">
        <v>6</v>
      </c>
      <c r="HS26" s="156"/>
      <c r="HV26">
        <v>6</v>
      </c>
      <c r="HW26" s="156"/>
      <c r="HZ26">
        <v>6</v>
      </c>
      <c r="IA26" s="156"/>
      <c r="ID26">
        <v>4</v>
      </c>
      <c r="IE26" s="156"/>
      <c r="IH26">
        <v>5</v>
      </c>
      <c r="II26" s="156"/>
      <c r="IL26">
        <v>4</v>
      </c>
      <c r="IM26" s="156"/>
      <c r="IP26">
        <v>2</v>
      </c>
      <c r="IQ26" s="156"/>
      <c r="IT26">
        <v>14</v>
      </c>
      <c r="IU26" s="156"/>
      <c r="IX26">
        <v>14</v>
      </c>
      <c r="IY26" s="156"/>
      <c r="JC26" s="156"/>
      <c r="JG26" s="156"/>
      <c r="JK26" s="156"/>
      <c r="JO26" s="156"/>
      <c r="JR26">
        <v>1.63</v>
      </c>
      <c r="JS26" s="156"/>
      <c r="JT26">
        <v>0.62</v>
      </c>
      <c r="JV26">
        <v>2.2999999999999998</v>
      </c>
      <c r="JW26" s="156"/>
      <c r="JX26">
        <v>0.8</v>
      </c>
    </row>
    <row r="27" spans="1:284" ht="28.5" x14ac:dyDescent="0.2">
      <c r="A27" s="74" t="s">
        <v>401</v>
      </c>
      <c r="B27" s="22"/>
      <c r="C27" s="34"/>
      <c r="D27" s="33"/>
      <c r="E27" s="33"/>
      <c r="F27" s="22"/>
      <c r="G27" s="34"/>
      <c r="H27" s="33"/>
      <c r="I27" s="35"/>
      <c r="J27" s="245">
        <f>0.2674*152/1000</f>
        <v>4.0644800000000002E-2</v>
      </c>
      <c r="K27" s="90">
        <f>100/J27*L27</f>
        <v>96.05263157894737</v>
      </c>
      <c r="L27" s="33">
        <f>0.2674*146/1000</f>
        <v>3.9040400000000003E-2</v>
      </c>
      <c r="M27" s="34"/>
      <c r="N27" s="22"/>
      <c r="O27" s="34"/>
      <c r="P27" s="33"/>
      <c r="Q27" s="35"/>
      <c r="R27" s="34"/>
      <c r="S27" s="34"/>
      <c r="T27" s="35"/>
      <c r="U27" s="35"/>
      <c r="V27" s="34"/>
      <c r="W27" s="34"/>
      <c r="X27" s="35"/>
      <c r="Y27" s="35"/>
      <c r="Z27" s="34"/>
      <c r="AA27" s="34"/>
      <c r="AB27" s="35"/>
      <c r="AC27" s="35"/>
      <c r="AD27" s="34"/>
      <c r="AE27" s="34"/>
      <c r="AF27" s="35"/>
      <c r="AG27" s="35"/>
      <c r="AH27" s="34"/>
      <c r="AI27" s="34"/>
      <c r="AJ27" s="35"/>
      <c r="AK27" s="35"/>
      <c r="AL27" s="34"/>
      <c r="AM27" s="34"/>
      <c r="AN27" s="35"/>
      <c r="AO27" s="35"/>
      <c r="AP27" s="34"/>
      <c r="AQ27" s="34"/>
      <c r="AR27" s="35"/>
      <c r="AS27" s="35"/>
      <c r="AT27" s="34"/>
      <c r="AU27" s="34"/>
      <c r="AV27" s="35"/>
      <c r="AW27" s="35"/>
      <c r="AX27" s="34"/>
      <c r="AY27" s="34"/>
      <c r="AZ27" s="35"/>
      <c r="BA27" s="35"/>
      <c r="BB27" s="34"/>
      <c r="BC27" s="34"/>
      <c r="BD27" s="35"/>
      <c r="FR27">
        <v>0.10299999999999999</v>
      </c>
      <c r="FS27" s="156">
        <f t="shared" si="0"/>
        <v>22.330097087378643</v>
      </c>
      <c r="FT27">
        <v>2.3E-2</v>
      </c>
      <c r="FW27" s="156"/>
      <c r="GA27" s="156"/>
      <c r="GE27" s="156"/>
      <c r="GI27" s="156"/>
      <c r="GM27" s="156"/>
      <c r="GQ27" s="156"/>
      <c r="GU27" s="156"/>
      <c r="GY27" s="156"/>
      <c r="HC27" s="156"/>
      <c r="HG27" s="156"/>
      <c r="HK27" s="156"/>
      <c r="HO27" s="156"/>
      <c r="HS27" s="156"/>
      <c r="HW27" s="156"/>
      <c r="IA27" s="156"/>
      <c r="IE27" s="156"/>
      <c r="II27" s="156"/>
      <c r="IM27" s="156"/>
      <c r="IQ27" s="156"/>
      <c r="IU27" s="156"/>
      <c r="IY27" s="156"/>
      <c r="JC27" s="156"/>
      <c r="JG27" s="156"/>
      <c r="JK27" s="156"/>
      <c r="JO27" s="156"/>
      <c r="JS27" s="156"/>
      <c r="JW27" s="156"/>
    </row>
    <row r="28" spans="1:284" x14ac:dyDescent="0.2">
      <c r="A28" s="57" t="s">
        <v>402</v>
      </c>
      <c r="B28" s="234"/>
      <c r="C28" s="34"/>
      <c r="D28" s="33"/>
      <c r="E28" s="33"/>
      <c r="F28" s="234"/>
      <c r="G28" s="34"/>
      <c r="H28" s="33"/>
      <c r="I28" s="35"/>
      <c r="J28" s="234"/>
      <c r="K28" s="34">
        <v>7</v>
      </c>
      <c r="L28" s="33"/>
      <c r="M28" s="34"/>
      <c r="N28" s="234"/>
      <c r="O28" s="34"/>
      <c r="P28" s="33"/>
      <c r="Q28" s="35"/>
      <c r="R28" s="34"/>
      <c r="S28" s="34"/>
      <c r="T28" s="35"/>
      <c r="U28" s="35"/>
      <c r="V28" s="34"/>
      <c r="W28" s="34"/>
      <c r="X28" s="35"/>
      <c r="Y28" s="35"/>
      <c r="Z28" s="34"/>
      <c r="AA28" s="34"/>
      <c r="AB28" s="35"/>
      <c r="AC28" s="35"/>
      <c r="AD28" s="34"/>
      <c r="AE28" s="34"/>
      <c r="AF28" s="35"/>
      <c r="AG28" s="35"/>
      <c r="AH28" s="34"/>
      <c r="AI28" s="34"/>
      <c r="AJ28" s="35"/>
      <c r="AK28" s="35"/>
      <c r="AL28" s="34"/>
      <c r="AM28" s="34"/>
      <c r="AN28" s="35"/>
      <c r="AO28" s="35"/>
      <c r="AP28" s="34"/>
      <c r="AQ28" s="34"/>
      <c r="AR28" s="35"/>
      <c r="AS28" s="35"/>
      <c r="AT28" s="34"/>
      <c r="AU28" s="34"/>
      <c r="AV28" s="35"/>
      <c r="AW28" s="35"/>
      <c r="AX28" s="34"/>
      <c r="AY28" s="34"/>
      <c r="AZ28" s="35"/>
      <c r="BA28" s="35"/>
      <c r="BB28" s="34"/>
      <c r="BC28" s="34"/>
      <c r="BD28" s="35"/>
      <c r="FR28">
        <v>2.88</v>
      </c>
      <c r="FS28" s="156">
        <f t="shared" si="0"/>
        <v>16.666666666666664</v>
      </c>
      <c r="FT28">
        <v>0.48</v>
      </c>
      <c r="FW28" s="156"/>
      <c r="GA28" s="156"/>
      <c r="GE28" s="156"/>
      <c r="GI28" s="156"/>
      <c r="GM28" s="156"/>
      <c r="GQ28" s="156"/>
      <c r="GU28" s="156"/>
      <c r="GY28" s="156"/>
      <c r="HC28" s="156"/>
      <c r="HG28" s="156"/>
      <c r="HK28" s="156"/>
      <c r="HO28" s="156"/>
      <c r="HS28" s="156"/>
      <c r="HW28" s="156"/>
      <c r="IA28" s="156"/>
      <c r="IE28" s="156"/>
      <c r="II28" s="156"/>
      <c r="IM28" s="156"/>
      <c r="IQ28" s="156"/>
      <c r="IU28" s="156"/>
      <c r="IY28" s="156"/>
      <c r="JC28" s="156"/>
      <c r="JG28" s="156"/>
      <c r="JK28" s="156"/>
      <c r="JO28" s="156"/>
      <c r="JS28" s="156"/>
      <c r="JW28" s="156"/>
    </row>
    <row r="29" spans="1:284" ht="28.5" x14ac:dyDescent="0.2">
      <c r="A29" s="74" t="s">
        <v>269</v>
      </c>
      <c r="B29" s="235">
        <f>0.2674*B35</f>
        <v>631.5988000000001</v>
      </c>
      <c r="C29" s="90">
        <f>100/B29*D29</f>
        <v>3.0482641828958505</v>
      </c>
      <c r="D29" s="244">
        <f>0.2674*D35</f>
        <v>19.252800000000001</v>
      </c>
      <c r="E29" s="33"/>
      <c r="F29" s="235">
        <f>0.2674*F35</f>
        <v>689.08980000000008</v>
      </c>
      <c r="G29" s="90">
        <f>100/F29*H29</f>
        <v>3.5312378734963135</v>
      </c>
      <c r="H29" s="244">
        <f>0.2674*H35</f>
        <v>24.333400000000001</v>
      </c>
      <c r="I29" s="35"/>
      <c r="J29" s="235">
        <f>0.2674*J35</f>
        <v>581.32760000000007</v>
      </c>
      <c r="K29" s="90">
        <f>100/J29*L29</f>
        <v>4.0018399264029441</v>
      </c>
      <c r="L29" s="244">
        <f>0.2674*L35</f>
        <v>23.263800000000003</v>
      </c>
      <c r="M29" s="34"/>
      <c r="N29" s="235">
        <f>0.2674*N35</f>
        <v>748.45260000000007</v>
      </c>
      <c r="O29" s="90">
        <f>100/N29*P29</f>
        <v>2.8938906752411575</v>
      </c>
      <c r="P29" s="244">
        <f>0.2674*P35</f>
        <v>21.659400000000002</v>
      </c>
      <c r="Q29" s="35"/>
      <c r="R29" s="34">
        <v>1599</v>
      </c>
      <c r="S29" s="34"/>
      <c r="T29" s="35">
        <v>1089</v>
      </c>
      <c r="U29" s="35"/>
      <c r="V29" s="34">
        <v>3018</v>
      </c>
      <c r="W29" s="34"/>
      <c r="X29" s="35">
        <v>2878</v>
      </c>
      <c r="Y29" s="35"/>
      <c r="Z29" s="34">
        <v>1878</v>
      </c>
      <c r="AA29" s="90">
        <f>100/Z29*AB29</f>
        <v>68.956336528221513</v>
      </c>
      <c r="AB29" s="35">
        <v>1295</v>
      </c>
      <c r="AC29" s="35"/>
      <c r="AD29" s="34">
        <v>1603</v>
      </c>
      <c r="AE29" s="90">
        <f>100/AD29*AF29</f>
        <v>68.870867124142237</v>
      </c>
      <c r="AF29" s="35">
        <v>1104</v>
      </c>
      <c r="AG29" s="35"/>
      <c r="AH29" s="34">
        <v>3372</v>
      </c>
      <c r="AI29" s="90">
        <f>100/AH29*AJ29</f>
        <v>44.958481613285883</v>
      </c>
      <c r="AJ29" s="35">
        <v>1516</v>
      </c>
      <c r="AK29" s="35"/>
      <c r="AL29" s="34">
        <v>2870</v>
      </c>
      <c r="AM29" s="90">
        <f>100/AL29*AN29</f>
        <v>52.89198606271777</v>
      </c>
      <c r="AN29" s="35">
        <v>1518</v>
      </c>
      <c r="AO29" s="35"/>
      <c r="AP29" s="34">
        <v>66.400000000000006</v>
      </c>
      <c r="AQ29" s="90">
        <f>100/AP29*AR29</f>
        <v>4.9698795180722888</v>
      </c>
      <c r="AR29" s="35">
        <v>3.3</v>
      </c>
      <c r="AS29" s="35"/>
      <c r="AT29" s="34">
        <v>25.7</v>
      </c>
      <c r="AU29" s="90">
        <f>100/AT29*AV29</f>
        <v>18.28793774319066</v>
      </c>
      <c r="AV29" s="35">
        <v>4.7</v>
      </c>
      <c r="AW29" s="35"/>
      <c r="AX29" s="34"/>
      <c r="AY29" s="90" t="e">
        <f>100/AX29*AZ29</f>
        <v>#DIV/0!</v>
      </c>
      <c r="AZ29" s="35"/>
      <c r="BA29" s="35"/>
      <c r="BB29" s="34"/>
      <c r="BC29" s="90" t="e">
        <f>100/BB29*BD29</f>
        <v>#DIV/0!</v>
      </c>
      <c r="BD29" s="35"/>
      <c r="BV29">
        <v>1444.1</v>
      </c>
      <c r="BW29" s="171">
        <f>100/BV29*BX29</f>
        <v>26.985665812616855</v>
      </c>
      <c r="BX29">
        <v>389.7</v>
      </c>
      <c r="CL29">
        <v>821</v>
      </c>
      <c r="CN29">
        <v>197</v>
      </c>
      <c r="CP29">
        <v>810</v>
      </c>
      <c r="CR29">
        <v>287</v>
      </c>
      <c r="CT29">
        <v>718</v>
      </c>
      <c r="CV29">
        <v>192</v>
      </c>
      <c r="CX29">
        <v>346</v>
      </c>
      <c r="CZ29">
        <v>40.6</v>
      </c>
      <c r="DB29">
        <v>1387</v>
      </c>
      <c r="DD29">
        <v>644</v>
      </c>
      <c r="DF29">
        <v>4329</v>
      </c>
      <c r="DH29">
        <v>2080</v>
      </c>
      <c r="DJ29">
        <f>DJ39*100</f>
        <v>1387</v>
      </c>
      <c r="DK29" s="156">
        <f>100/DJ29*DL29</f>
        <v>46.431146359048306</v>
      </c>
      <c r="DL29">
        <v>644</v>
      </c>
      <c r="DN29">
        <f>DN39*300</f>
        <v>4557</v>
      </c>
      <c r="DO29" s="156">
        <f>100/DN29*DP29</f>
        <v>48.057932850559581</v>
      </c>
      <c r="DP29">
        <f>3*730</f>
        <v>2190</v>
      </c>
      <c r="ED29">
        <v>1890</v>
      </c>
      <c r="EF29">
        <v>1150</v>
      </c>
      <c r="EH29">
        <v>2990</v>
      </c>
      <c r="EJ29">
        <v>300</v>
      </c>
      <c r="EL29">
        <v>2190</v>
      </c>
      <c r="EN29">
        <v>410</v>
      </c>
      <c r="FR29">
        <v>353</v>
      </c>
      <c r="FS29" s="156">
        <f t="shared" si="0"/>
        <v>25.495750708215297</v>
      </c>
      <c r="FT29">
        <v>90</v>
      </c>
      <c r="FV29">
        <v>262</v>
      </c>
      <c r="FW29" s="156">
        <f t="shared" si="1"/>
        <v>37.786259541984734</v>
      </c>
      <c r="FX29">
        <v>99</v>
      </c>
      <c r="FZ29">
        <v>220</v>
      </c>
      <c r="GA29" s="156">
        <f t="shared" si="2"/>
        <v>28.18181818181818</v>
      </c>
      <c r="GB29">
        <v>62</v>
      </c>
      <c r="GD29">
        <v>1179</v>
      </c>
      <c r="GE29" s="156"/>
      <c r="GF29">
        <v>654</v>
      </c>
      <c r="GH29">
        <v>1156</v>
      </c>
      <c r="GI29" s="156"/>
      <c r="GJ29">
        <v>609</v>
      </c>
      <c r="GL29">
        <v>1060</v>
      </c>
      <c r="GM29" s="156"/>
      <c r="GN29">
        <v>663</v>
      </c>
      <c r="GP29">
        <v>1060</v>
      </c>
      <c r="GQ29" s="156"/>
      <c r="GR29">
        <v>610</v>
      </c>
      <c r="GT29">
        <v>1097</v>
      </c>
      <c r="GU29" s="156"/>
      <c r="GV29">
        <v>312</v>
      </c>
      <c r="GX29">
        <v>1114</v>
      </c>
      <c r="GY29" s="156"/>
      <c r="GZ29">
        <v>305</v>
      </c>
      <c r="HB29">
        <v>1025</v>
      </c>
      <c r="HC29" s="156"/>
      <c r="HD29">
        <v>403</v>
      </c>
      <c r="HF29">
        <v>1099</v>
      </c>
      <c r="HG29" s="156"/>
      <c r="HH29">
        <v>331</v>
      </c>
      <c r="HK29" s="156"/>
      <c r="HO29" s="156"/>
      <c r="HR29">
        <v>1286.2</v>
      </c>
      <c r="HS29" s="156"/>
      <c r="HV29">
        <v>634.5</v>
      </c>
      <c r="HW29" s="156"/>
      <c r="HZ29">
        <v>313.89999999999998</v>
      </c>
      <c r="IA29" s="156"/>
      <c r="ID29">
        <v>1748.1</v>
      </c>
      <c r="IE29" s="156"/>
      <c r="IH29">
        <v>1945.6</v>
      </c>
      <c r="II29" s="156"/>
      <c r="IL29">
        <v>2078.1999999999998</v>
      </c>
      <c r="IM29" s="156"/>
      <c r="IP29">
        <v>2101.9</v>
      </c>
      <c r="IQ29" s="156"/>
      <c r="IT29">
        <v>364.3</v>
      </c>
      <c r="IU29" s="156"/>
      <c r="IX29">
        <v>330.4</v>
      </c>
      <c r="IY29" s="156"/>
      <c r="JC29" s="156"/>
      <c r="JG29" s="156"/>
      <c r="JK29" s="156"/>
      <c r="JO29" s="156"/>
      <c r="JR29">
        <v>957</v>
      </c>
      <c r="JS29" s="156"/>
      <c r="JT29">
        <v>617</v>
      </c>
      <c r="JV29">
        <v>1690</v>
      </c>
      <c r="JW29" s="156"/>
      <c r="JX29">
        <v>402</v>
      </c>
    </row>
    <row r="30" spans="1:284" x14ac:dyDescent="0.2">
      <c r="A30" t="s">
        <v>270</v>
      </c>
      <c r="B30" s="236">
        <v>5.13</v>
      </c>
      <c r="D30" s="33">
        <v>1.8</v>
      </c>
      <c r="E30" s="33"/>
      <c r="F30" s="236">
        <v>4.5</v>
      </c>
      <c r="H30" s="33">
        <v>1.2</v>
      </c>
      <c r="I30" s="35"/>
      <c r="J30" s="236">
        <v>5.9</v>
      </c>
      <c r="L30" s="33">
        <v>2</v>
      </c>
      <c r="M30" s="34"/>
      <c r="N30" s="236">
        <v>4.7</v>
      </c>
      <c r="P30" s="33">
        <v>1.2</v>
      </c>
      <c r="Q30" s="35"/>
      <c r="R30" s="34"/>
      <c r="S30" s="34"/>
      <c r="T30" s="35"/>
      <c r="U30" s="35"/>
      <c r="V30" s="34"/>
      <c r="W30" s="34"/>
      <c r="X30" s="35"/>
      <c r="Y30" s="35"/>
      <c r="Z30" s="34"/>
      <c r="AA30" s="34"/>
      <c r="AB30" s="35"/>
      <c r="AC30" s="35"/>
      <c r="AD30" s="34"/>
      <c r="AE30" s="34"/>
      <c r="AF30" s="35"/>
      <c r="AG30" s="35"/>
      <c r="AH30" s="34"/>
      <c r="AI30" s="34"/>
      <c r="AJ30" s="35"/>
      <c r="AK30" s="35"/>
      <c r="AL30" s="34"/>
      <c r="AM30" s="34"/>
      <c r="AN30" s="35"/>
      <c r="AO30" s="35"/>
      <c r="AP30" s="34"/>
      <c r="AQ30" s="34"/>
      <c r="AR30" s="35"/>
      <c r="AS30" s="35"/>
      <c r="AT30" s="34"/>
      <c r="AU30" s="34"/>
      <c r="AV30" s="35"/>
      <c r="AW30" s="35"/>
      <c r="AX30" s="34"/>
      <c r="AY30" s="34"/>
      <c r="AZ30" s="35"/>
      <c r="BA30" s="35"/>
      <c r="BB30" s="34"/>
      <c r="BC30" s="34"/>
      <c r="BD30" s="35"/>
      <c r="BV30">
        <v>4.2</v>
      </c>
      <c r="BW30" s="171">
        <f>100/BV30*BX30</f>
        <v>21.428571428571431</v>
      </c>
      <c r="BX30">
        <v>0.9</v>
      </c>
      <c r="ED30">
        <v>2.88</v>
      </c>
      <c r="EF30">
        <v>0.89</v>
      </c>
      <c r="JR30">
        <v>4.42</v>
      </c>
      <c r="JT30">
        <v>1.25</v>
      </c>
      <c r="JV30">
        <v>7.93</v>
      </c>
      <c r="JX30">
        <v>1.21</v>
      </c>
    </row>
    <row r="31" spans="1:284" ht="15" x14ac:dyDescent="0.25">
      <c r="A31" s="1" t="s">
        <v>271</v>
      </c>
      <c r="B31" s="24"/>
      <c r="D31" s="33"/>
      <c r="E31" s="33"/>
      <c r="F31" s="24"/>
      <c r="H31" s="33"/>
      <c r="I31" s="35"/>
      <c r="J31" s="24"/>
      <c r="L31" s="33"/>
      <c r="M31" s="34"/>
      <c r="N31" s="24"/>
      <c r="P31" s="33"/>
      <c r="Q31" s="35"/>
      <c r="R31" s="34"/>
      <c r="S31" s="34"/>
      <c r="T31" s="35"/>
      <c r="U31" s="35"/>
      <c r="V31" s="34"/>
      <c r="W31" s="34"/>
      <c r="X31" s="35"/>
      <c r="Y31" s="35"/>
      <c r="Z31" s="34"/>
      <c r="AA31" s="34"/>
      <c r="AB31" s="35"/>
      <c r="AC31" s="35"/>
      <c r="AD31" s="34"/>
      <c r="AE31" s="34"/>
      <c r="AF31" s="35"/>
      <c r="AG31" s="35"/>
      <c r="AH31" s="34"/>
      <c r="AI31" s="34"/>
      <c r="AJ31" s="35"/>
      <c r="AK31" s="35"/>
      <c r="AL31" s="34"/>
      <c r="AM31" s="34"/>
      <c r="AN31" s="35"/>
      <c r="AO31" s="35"/>
      <c r="AP31" s="34"/>
      <c r="AQ31" s="34"/>
      <c r="AR31" s="35"/>
      <c r="AS31" s="35"/>
      <c r="AT31" s="34">
        <f>(AT29/AP29)*100</f>
        <v>38.704819277108435</v>
      </c>
      <c r="AU31" s="34"/>
      <c r="AV31" s="35"/>
      <c r="AW31" s="35"/>
      <c r="AX31" s="34"/>
      <c r="AY31" s="34"/>
      <c r="AZ31" s="35"/>
      <c r="BA31" s="35"/>
      <c r="BB31" s="34"/>
      <c r="BC31" s="34"/>
      <c r="BD31" s="35"/>
    </row>
    <row r="32" spans="1:284" x14ac:dyDescent="0.2">
      <c r="A32" s="36" t="s">
        <v>395</v>
      </c>
      <c r="B32" s="237"/>
      <c r="C32" s="33"/>
      <c r="D32" s="33"/>
      <c r="E32" s="33"/>
      <c r="F32" s="237"/>
      <c r="G32" s="33"/>
      <c r="H32" s="33"/>
      <c r="I32" s="35"/>
      <c r="J32" s="237"/>
      <c r="K32" s="33"/>
      <c r="L32" s="33"/>
      <c r="M32" s="34"/>
      <c r="N32" s="237"/>
      <c r="O32" s="33"/>
      <c r="P32" s="33"/>
      <c r="Q32" s="35"/>
      <c r="R32" s="34"/>
      <c r="S32" s="34"/>
      <c r="T32" s="35"/>
      <c r="U32" s="35"/>
      <c r="V32" s="34"/>
      <c r="W32" s="34"/>
      <c r="X32" s="35"/>
      <c r="Y32" s="35"/>
      <c r="Z32" s="34"/>
      <c r="AA32" s="34"/>
      <c r="AB32" s="35"/>
      <c r="AC32" s="35"/>
      <c r="AD32" s="34"/>
      <c r="AE32" s="34"/>
      <c r="AF32" s="35"/>
      <c r="AG32" s="35"/>
      <c r="AH32" s="34">
        <f>AH29/Z29</f>
        <v>1.7955271565495208</v>
      </c>
      <c r="AI32" s="34"/>
      <c r="AJ32" s="35"/>
      <c r="AK32" s="35"/>
      <c r="AL32" s="34">
        <f>AL29/AD29</f>
        <v>1.7903930131004366</v>
      </c>
      <c r="AM32" s="34"/>
      <c r="AN32" s="35"/>
      <c r="AO32" s="35"/>
      <c r="AP32" s="34"/>
      <c r="AQ32" s="34"/>
      <c r="AR32" s="35"/>
      <c r="AS32" s="35"/>
      <c r="AT32" s="34"/>
      <c r="AU32" s="34"/>
      <c r="AV32" s="35"/>
      <c r="AW32" s="35"/>
      <c r="AX32" s="34"/>
      <c r="AY32" s="34"/>
      <c r="AZ32" s="35"/>
      <c r="BA32" s="35"/>
      <c r="BB32" s="34">
        <f>BB29/AT29</f>
        <v>0</v>
      </c>
      <c r="BC32" s="34"/>
      <c r="BD32" s="35"/>
    </row>
    <row r="33" spans="1:285" x14ac:dyDescent="0.2">
      <c r="A33" s="36" t="s">
        <v>403</v>
      </c>
      <c r="B33" s="238">
        <v>87</v>
      </c>
      <c r="C33" s="33"/>
      <c r="D33" s="33"/>
      <c r="E33" s="33"/>
      <c r="F33" s="238">
        <v>85</v>
      </c>
      <c r="G33" s="33"/>
      <c r="H33" s="33"/>
      <c r="I33" s="35"/>
      <c r="J33" s="238">
        <v>74</v>
      </c>
      <c r="K33" s="33"/>
      <c r="L33" s="33"/>
      <c r="M33" s="34"/>
      <c r="N33" s="238">
        <f>N29/$N$29*100</f>
        <v>100</v>
      </c>
      <c r="O33" s="33"/>
      <c r="P33" s="33"/>
      <c r="Q33" s="35"/>
      <c r="R33" s="34"/>
      <c r="S33" s="34"/>
      <c r="T33" s="35"/>
      <c r="U33" s="35"/>
      <c r="V33" s="34"/>
      <c r="W33" s="34"/>
      <c r="X33" s="35"/>
      <c r="Y33" s="35"/>
      <c r="Z33" s="34"/>
      <c r="AA33" s="34"/>
      <c r="AB33" s="35"/>
      <c r="AC33" s="35"/>
      <c r="AD33" s="34"/>
      <c r="AE33" s="34"/>
      <c r="AF33" s="35"/>
      <c r="AG33" s="35"/>
      <c r="AH33" s="34"/>
      <c r="AI33" s="34"/>
      <c r="AJ33" s="35"/>
      <c r="AK33" s="35"/>
      <c r="AL33" s="34"/>
      <c r="AM33" s="34"/>
      <c r="AN33" s="35"/>
      <c r="AO33" s="35"/>
      <c r="AP33" s="34"/>
      <c r="AQ33" s="34"/>
      <c r="AR33" s="35"/>
      <c r="AS33" s="35"/>
      <c r="AT33" s="34"/>
      <c r="AU33" s="34"/>
      <c r="AV33" s="35"/>
      <c r="AW33" s="35"/>
      <c r="AX33" s="34"/>
      <c r="AY33" s="34"/>
      <c r="AZ33" s="35"/>
      <c r="BA33" s="35"/>
      <c r="BB33" s="34"/>
      <c r="BC33" s="34"/>
      <c r="BD33" s="35"/>
      <c r="DJ33" s="186">
        <v>1</v>
      </c>
      <c r="DN33" s="156">
        <f>100/(DJ29*3)*DN29</f>
        <v>109.51694304253785</v>
      </c>
      <c r="DR33" s="186"/>
      <c r="DV33" s="156"/>
      <c r="DZ33" s="156"/>
      <c r="ED33" s="186">
        <v>1</v>
      </c>
      <c r="EH33" s="186"/>
      <c r="EL33" s="186"/>
    </row>
    <row r="34" spans="1:285" x14ac:dyDescent="0.2">
      <c r="A34" s="232" t="s">
        <v>836</v>
      </c>
      <c r="B34" s="240">
        <v>201</v>
      </c>
      <c r="C34" s="34"/>
      <c r="D34" s="242">
        <v>107</v>
      </c>
      <c r="E34" s="35"/>
      <c r="F34" s="240">
        <v>137</v>
      </c>
      <c r="G34" s="34"/>
      <c r="H34" s="242">
        <v>104</v>
      </c>
      <c r="I34" s="35"/>
      <c r="J34" s="240">
        <v>185</v>
      </c>
      <c r="K34" s="34"/>
      <c r="L34" s="242">
        <v>102</v>
      </c>
      <c r="M34" s="34"/>
      <c r="N34" s="240">
        <v>393</v>
      </c>
      <c r="O34" s="34"/>
      <c r="P34" s="242">
        <v>200</v>
      </c>
      <c r="R34" s="34"/>
      <c r="S34" s="34"/>
      <c r="T34" s="35"/>
      <c r="U34" s="35"/>
      <c r="V34" s="34"/>
      <c r="W34" s="34"/>
      <c r="X34" s="35"/>
      <c r="Y34" s="35"/>
      <c r="Z34" s="34"/>
      <c r="AA34" s="34"/>
      <c r="AB34" s="35"/>
      <c r="AC34" s="35"/>
      <c r="AD34" s="34"/>
      <c r="AE34" s="34"/>
      <c r="AF34" s="35"/>
      <c r="AG34" s="35"/>
      <c r="AH34" s="34"/>
      <c r="AI34" s="34"/>
      <c r="AJ34" s="35"/>
      <c r="AK34" s="35"/>
      <c r="AL34" s="34"/>
      <c r="AM34" s="34"/>
      <c r="AN34" s="35"/>
      <c r="AO34" s="35"/>
      <c r="AP34" s="34"/>
      <c r="AQ34" s="34"/>
      <c r="AR34" s="35"/>
      <c r="AS34" s="35"/>
      <c r="AT34" s="34"/>
      <c r="AU34" s="34"/>
      <c r="AV34" s="35"/>
      <c r="AW34" s="35"/>
      <c r="AX34" s="34"/>
      <c r="AY34" s="34"/>
      <c r="AZ34" s="35"/>
      <c r="BA34" s="35"/>
      <c r="BB34" s="34"/>
      <c r="BC34" s="34"/>
      <c r="BD34" s="35"/>
    </row>
    <row r="35" spans="1:285" x14ac:dyDescent="0.2">
      <c r="A35" s="232" t="s">
        <v>837</v>
      </c>
      <c r="B35" s="241">
        <v>2362</v>
      </c>
      <c r="C35" s="34"/>
      <c r="D35" s="30">
        <v>72</v>
      </c>
      <c r="E35" s="30"/>
      <c r="F35" s="241">
        <v>2577</v>
      </c>
      <c r="G35" s="34"/>
      <c r="H35" s="30">
        <v>91</v>
      </c>
      <c r="I35" s="30"/>
      <c r="J35" s="241">
        <v>2174</v>
      </c>
      <c r="K35" s="34"/>
      <c r="L35" s="30">
        <v>87</v>
      </c>
      <c r="M35" s="30"/>
      <c r="N35" s="241">
        <v>2799</v>
      </c>
      <c r="O35" s="34"/>
      <c r="P35" s="30">
        <v>81</v>
      </c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</row>
    <row r="36" spans="1:285" x14ac:dyDescent="0.2">
      <c r="A36" s="36" t="s">
        <v>421</v>
      </c>
      <c r="B36" s="22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F36">
        <v>74</v>
      </c>
    </row>
    <row r="37" spans="1:285" ht="16.5" x14ac:dyDescent="0.2">
      <c r="A37" s="173"/>
      <c r="B37" s="174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</row>
    <row r="38" spans="1:285" ht="15" x14ac:dyDescent="0.25">
      <c r="A38" s="1"/>
      <c r="B38" s="239"/>
      <c r="F38" s="20"/>
      <c r="J38" s="20"/>
      <c r="N38" s="20"/>
    </row>
    <row r="39" spans="1:285" ht="15" x14ac:dyDescent="0.25">
      <c r="A39" s="13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DJ39">
        <v>13.87</v>
      </c>
      <c r="DL39">
        <v>6.44</v>
      </c>
      <c r="DN39">
        <v>15.19</v>
      </c>
      <c r="DP39">
        <v>7.3</v>
      </c>
      <c r="EB39">
        <v>7.3</v>
      </c>
      <c r="ED39">
        <f>ED29/ED15</f>
        <v>54</v>
      </c>
    </row>
    <row r="40" spans="1:285" ht="30" x14ac:dyDescent="0.25">
      <c r="A40" s="13" t="s">
        <v>628</v>
      </c>
      <c r="GD40">
        <f>GD29/GD29</f>
        <v>1</v>
      </c>
      <c r="GH40" s="171">
        <f>GH29/$GD$29</f>
        <v>0.98049194232400338</v>
      </c>
      <c r="GL40" s="171">
        <f>GL29/$GD$29</f>
        <v>0.89906700593723499</v>
      </c>
      <c r="GP40" s="171">
        <f>GP29/$GD$29</f>
        <v>0.89906700593723499</v>
      </c>
      <c r="GT40" s="171">
        <f>GT29/$GT$29</f>
        <v>1</v>
      </c>
      <c r="GX40" s="171">
        <f>GX29/$GT$29</f>
        <v>1.0154968094804011</v>
      </c>
      <c r="HB40" s="171">
        <f>HB29/$GT$29</f>
        <v>0.93436645396536011</v>
      </c>
      <c r="HF40" s="171">
        <f>HF29/$GT$29</f>
        <v>1.0018231540565177</v>
      </c>
    </row>
    <row r="41" spans="1:285" ht="15" x14ac:dyDescent="0.25">
      <c r="A41" s="13"/>
      <c r="GT41" s="171">
        <f>GT29/GD29</f>
        <v>0.93044953350296866</v>
      </c>
      <c r="GX41" s="171">
        <f>GX29/GH29</f>
        <v>0.96366782006920415</v>
      </c>
      <c r="HB41" s="171">
        <f>HB29/GL29</f>
        <v>0.96698113207547165</v>
      </c>
      <c r="HF41" s="171">
        <f>HF29/GP29</f>
        <v>1.0367924528301886</v>
      </c>
    </row>
    <row r="42" spans="1:285" ht="15" x14ac:dyDescent="0.25">
      <c r="A42" s="13"/>
      <c r="B42" s="42" t="s">
        <v>841</v>
      </c>
      <c r="D42" s="46"/>
      <c r="E42" s="46"/>
      <c r="F42" s="42" t="s">
        <v>841</v>
      </c>
      <c r="G42" s="46"/>
      <c r="H42" s="46"/>
      <c r="I42" s="46"/>
      <c r="J42" s="42" t="s">
        <v>841</v>
      </c>
      <c r="K42" s="46"/>
      <c r="L42" s="46"/>
      <c r="M42" s="46"/>
      <c r="N42" s="42" t="s">
        <v>841</v>
      </c>
      <c r="O42" s="46"/>
      <c r="P42" s="45"/>
      <c r="Q42" s="45"/>
      <c r="R42" s="44"/>
      <c r="S42" s="46"/>
      <c r="T42" s="45"/>
      <c r="U42" s="45"/>
      <c r="V42" s="44"/>
      <c r="W42" s="46"/>
      <c r="X42" s="45"/>
      <c r="Y42" s="45"/>
      <c r="Z42" s="44"/>
      <c r="AA42" s="46"/>
      <c r="AB42" s="45"/>
      <c r="AC42" s="45"/>
      <c r="AD42" s="44"/>
      <c r="AE42" s="46"/>
      <c r="AF42" s="45"/>
      <c r="AG42" s="45"/>
      <c r="AH42" s="44"/>
      <c r="AI42" s="46"/>
      <c r="AJ42" s="45"/>
      <c r="AK42" s="45"/>
      <c r="AL42" s="44"/>
      <c r="AM42" s="46"/>
      <c r="AN42" s="45"/>
      <c r="AO42" s="45"/>
      <c r="AP42" s="44"/>
      <c r="AQ42" s="46"/>
      <c r="AR42" s="45"/>
      <c r="AS42" s="45"/>
      <c r="AT42" s="44"/>
      <c r="AU42" s="46"/>
      <c r="AV42" s="45"/>
      <c r="AW42" s="45"/>
      <c r="AX42" s="44">
        <f>AX25/AP25</f>
        <v>3.1833333333333336</v>
      </c>
      <c r="AY42" s="46"/>
      <c r="AZ42" s="45"/>
      <c r="BA42" s="45"/>
      <c r="BB42" s="44">
        <f>BB25/AT25</f>
        <v>14.365411436541143</v>
      </c>
      <c r="BC42" s="46"/>
      <c r="BD42" s="45"/>
    </row>
    <row r="43" spans="1:285" ht="15" x14ac:dyDescent="0.25">
      <c r="A43" s="52" t="s">
        <v>13</v>
      </c>
      <c r="B43" s="33">
        <v>11</v>
      </c>
      <c r="C43" s="33"/>
      <c r="D43" s="33"/>
      <c r="E43" s="33"/>
      <c r="F43" s="46">
        <v>11</v>
      </c>
      <c r="G43" s="46"/>
      <c r="H43" s="46"/>
      <c r="I43" s="46"/>
      <c r="J43" s="46">
        <v>11</v>
      </c>
      <c r="K43" s="46"/>
      <c r="L43" s="46"/>
      <c r="M43" s="46"/>
      <c r="N43" s="44">
        <v>11</v>
      </c>
      <c r="O43" s="46"/>
      <c r="P43" s="45"/>
      <c r="Q43" s="45"/>
      <c r="R43" s="44">
        <v>6</v>
      </c>
      <c r="S43" s="46"/>
      <c r="T43" s="45"/>
      <c r="U43" s="45"/>
      <c r="V43" s="44">
        <v>6</v>
      </c>
      <c r="W43" s="46"/>
      <c r="X43" s="45"/>
      <c r="Y43" s="45"/>
      <c r="Z43" s="44">
        <v>6</v>
      </c>
      <c r="AA43" s="46"/>
      <c r="AB43" s="45"/>
      <c r="AC43" s="45"/>
      <c r="AD43" s="44">
        <v>6</v>
      </c>
      <c r="AE43" s="46"/>
      <c r="AF43" s="45"/>
      <c r="AG43" s="45"/>
      <c r="AH43" s="44">
        <v>6</v>
      </c>
      <c r="AI43" s="46"/>
      <c r="AJ43" s="45"/>
      <c r="AK43" s="45"/>
      <c r="AL43" s="44">
        <v>6</v>
      </c>
      <c r="AM43" s="46"/>
      <c r="AN43" s="45"/>
      <c r="AO43" s="45"/>
      <c r="AP43" s="44">
        <v>5</v>
      </c>
      <c r="AQ43" s="46"/>
      <c r="AR43" s="45"/>
      <c r="AS43" s="45"/>
      <c r="AT43" s="44">
        <v>5</v>
      </c>
      <c r="AU43" s="46"/>
      <c r="AV43" s="45"/>
      <c r="AW43" s="45"/>
      <c r="AX43" s="44">
        <v>5</v>
      </c>
      <c r="AY43" s="46"/>
      <c r="AZ43" s="45"/>
      <c r="BA43" s="45"/>
      <c r="BB43" s="44">
        <v>5</v>
      </c>
      <c r="BC43" s="46"/>
      <c r="BD43" s="45"/>
      <c r="JR43" t="s">
        <v>149</v>
      </c>
      <c r="JV43" t="s">
        <v>148</v>
      </c>
    </row>
    <row r="44" spans="1:285" x14ac:dyDescent="0.2">
      <c r="B44" t="s">
        <v>88</v>
      </c>
      <c r="C44" s="12" t="s">
        <v>121</v>
      </c>
      <c r="D44" s="32" t="s">
        <v>91</v>
      </c>
      <c r="E44" s="32" t="s">
        <v>371</v>
      </c>
      <c r="F44" t="s">
        <v>88</v>
      </c>
      <c r="G44" s="12" t="s">
        <v>121</v>
      </c>
      <c r="H44" s="32" t="s">
        <v>91</v>
      </c>
      <c r="I44" s="32" t="s">
        <v>371</v>
      </c>
      <c r="J44" t="s">
        <v>88</v>
      </c>
      <c r="K44" s="12" t="s">
        <v>121</v>
      </c>
      <c r="L44" s="32" t="s">
        <v>91</v>
      </c>
      <c r="M44" s="32" t="s">
        <v>371</v>
      </c>
      <c r="N44" t="s">
        <v>88</v>
      </c>
      <c r="O44" s="12" t="s">
        <v>121</v>
      </c>
      <c r="P44" s="32" t="s">
        <v>91</v>
      </c>
      <c r="Q44" s="32" t="s">
        <v>371</v>
      </c>
      <c r="R44" t="s">
        <v>88</v>
      </c>
      <c r="S44" s="12" t="s">
        <v>121</v>
      </c>
      <c r="T44" s="32" t="s">
        <v>371</v>
      </c>
      <c r="U44" s="32"/>
      <c r="V44" t="s">
        <v>88</v>
      </c>
      <c r="W44" s="12" t="s">
        <v>371</v>
      </c>
      <c r="X44" s="32" t="s">
        <v>91</v>
      </c>
      <c r="Y44" s="32"/>
      <c r="Z44" t="s">
        <v>88</v>
      </c>
      <c r="AA44" s="12" t="s">
        <v>121</v>
      </c>
      <c r="AB44" s="32" t="s">
        <v>91</v>
      </c>
      <c r="AC44" s="32" t="s">
        <v>371</v>
      </c>
      <c r="AD44" t="s">
        <v>88</v>
      </c>
      <c r="AE44" s="12" t="s">
        <v>121</v>
      </c>
      <c r="AF44" s="32" t="s">
        <v>91</v>
      </c>
      <c r="AG44" s="32" t="s">
        <v>371</v>
      </c>
      <c r="AH44" t="s">
        <v>88</v>
      </c>
      <c r="AI44" s="12" t="s">
        <v>121</v>
      </c>
      <c r="AJ44" s="32" t="s">
        <v>91</v>
      </c>
      <c r="AK44" s="32" t="s">
        <v>371</v>
      </c>
      <c r="AL44" t="s">
        <v>88</v>
      </c>
      <c r="AM44" s="12" t="s">
        <v>121</v>
      </c>
      <c r="AN44" s="32" t="s">
        <v>91</v>
      </c>
      <c r="AO44" s="32" t="s">
        <v>371</v>
      </c>
      <c r="AP44" t="s">
        <v>88</v>
      </c>
      <c r="AQ44" s="12" t="s">
        <v>121</v>
      </c>
      <c r="AR44" s="32" t="s">
        <v>91</v>
      </c>
      <c r="AS44" s="32" t="s">
        <v>371</v>
      </c>
      <c r="AT44" t="s">
        <v>88</v>
      </c>
      <c r="AU44" s="12" t="s">
        <v>121</v>
      </c>
      <c r="AV44" s="32" t="s">
        <v>91</v>
      </c>
      <c r="AW44" s="32" t="s">
        <v>371</v>
      </c>
      <c r="AX44" t="s">
        <v>88</v>
      </c>
      <c r="AY44" s="12" t="s">
        <v>121</v>
      </c>
      <c r="AZ44" s="32" t="s">
        <v>91</v>
      </c>
      <c r="BA44" s="32" t="s">
        <v>371</v>
      </c>
      <c r="BB44" t="s">
        <v>88</v>
      </c>
      <c r="BC44" s="12" t="s">
        <v>121</v>
      </c>
      <c r="BD44" s="32" t="s">
        <v>91</v>
      </c>
      <c r="BE44" s="32" t="s">
        <v>371</v>
      </c>
      <c r="BF44" t="s">
        <v>88</v>
      </c>
      <c r="BG44" s="12" t="s">
        <v>121</v>
      </c>
      <c r="BH44" s="32" t="s">
        <v>91</v>
      </c>
      <c r="BI44" s="32" t="s">
        <v>371</v>
      </c>
      <c r="BJ44" t="s">
        <v>88</v>
      </c>
      <c r="BK44" s="12" t="s">
        <v>121</v>
      </c>
      <c r="BL44" s="32" t="s">
        <v>91</v>
      </c>
      <c r="BM44" s="32" t="s">
        <v>371</v>
      </c>
      <c r="BN44" t="s">
        <v>88</v>
      </c>
      <c r="BO44" s="12" t="s">
        <v>121</v>
      </c>
      <c r="BP44" s="32" t="s">
        <v>91</v>
      </c>
      <c r="BQ44" s="32" t="s">
        <v>371</v>
      </c>
      <c r="BR44" t="s">
        <v>88</v>
      </c>
      <c r="BS44" s="12" t="s">
        <v>121</v>
      </c>
      <c r="BT44" s="32" t="s">
        <v>91</v>
      </c>
      <c r="BU44" s="32" t="s">
        <v>371</v>
      </c>
      <c r="BV44" t="s">
        <v>88</v>
      </c>
      <c r="BW44" s="12" t="s">
        <v>121</v>
      </c>
      <c r="BX44" s="32" t="s">
        <v>91</v>
      </c>
      <c r="BY44" s="32" t="s">
        <v>371</v>
      </c>
      <c r="BZ44" t="s">
        <v>88</v>
      </c>
      <c r="CA44" s="12" t="s">
        <v>121</v>
      </c>
      <c r="CB44" s="32" t="s">
        <v>91</v>
      </c>
      <c r="CC44" s="32" t="s">
        <v>371</v>
      </c>
      <c r="CD44" t="s">
        <v>88</v>
      </c>
      <c r="CE44" s="12" t="s">
        <v>121</v>
      </c>
      <c r="CF44" s="32" t="s">
        <v>91</v>
      </c>
      <c r="CG44" s="32" t="s">
        <v>371</v>
      </c>
      <c r="CH44" t="s">
        <v>88</v>
      </c>
      <c r="CI44" s="12" t="s">
        <v>121</v>
      </c>
      <c r="CJ44" s="32" t="s">
        <v>91</v>
      </c>
      <c r="CK44" s="32" t="s">
        <v>371</v>
      </c>
      <c r="CL44" t="s">
        <v>88</v>
      </c>
      <c r="CM44" s="12" t="s">
        <v>121</v>
      </c>
      <c r="CN44" s="32" t="s">
        <v>91</v>
      </c>
      <c r="CO44" s="32" t="s">
        <v>371</v>
      </c>
      <c r="CP44" t="s">
        <v>88</v>
      </c>
      <c r="CQ44" s="12" t="s">
        <v>121</v>
      </c>
      <c r="CR44" s="32" t="s">
        <v>91</v>
      </c>
      <c r="CS44" s="32" t="s">
        <v>371</v>
      </c>
      <c r="CT44" t="s">
        <v>88</v>
      </c>
      <c r="CU44" s="12" t="s">
        <v>121</v>
      </c>
      <c r="CV44" s="32" t="s">
        <v>91</v>
      </c>
      <c r="CW44" s="32" t="s">
        <v>371</v>
      </c>
      <c r="CX44" t="s">
        <v>88</v>
      </c>
      <c r="CY44" s="12" t="s">
        <v>121</v>
      </c>
      <c r="CZ44" s="32" t="s">
        <v>91</v>
      </c>
      <c r="DA44" s="32" t="s">
        <v>371</v>
      </c>
      <c r="DB44" t="s">
        <v>88</v>
      </c>
      <c r="DC44" s="12" t="s">
        <v>121</v>
      </c>
      <c r="DD44" s="32" t="s">
        <v>91</v>
      </c>
      <c r="DE44" s="32" t="s">
        <v>371</v>
      </c>
      <c r="DF44" t="s">
        <v>88</v>
      </c>
      <c r="DG44" s="12" t="s">
        <v>121</v>
      </c>
      <c r="DH44" s="32" t="s">
        <v>91</v>
      </c>
      <c r="DI44" s="32" t="s">
        <v>371</v>
      </c>
      <c r="DJ44" t="s">
        <v>88</v>
      </c>
      <c r="DK44" s="12" t="s">
        <v>121</v>
      </c>
      <c r="DL44" s="32" t="s">
        <v>91</v>
      </c>
      <c r="DM44" s="32" t="s">
        <v>371</v>
      </c>
      <c r="DN44" t="s">
        <v>88</v>
      </c>
      <c r="DO44" s="12" t="s">
        <v>121</v>
      </c>
      <c r="DP44" s="32" t="s">
        <v>91</v>
      </c>
      <c r="DQ44" s="32" t="s">
        <v>371</v>
      </c>
      <c r="DR44" t="s">
        <v>88</v>
      </c>
      <c r="DS44" s="12" t="s">
        <v>121</v>
      </c>
      <c r="DT44" s="32" t="s">
        <v>91</v>
      </c>
      <c r="DU44" s="32" t="s">
        <v>371</v>
      </c>
      <c r="DV44" t="s">
        <v>88</v>
      </c>
      <c r="DW44" s="12" t="s">
        <v>121</v>
      </c>
      <c r="DX44" s="32" t="s">
        <v>91</v>
      </c>
      <c r="DY44" s="32" t="s">
        <v>371</v>
      </c>
      <c r="DZ44" t="s">
        <v>88</v>
      </c>
      <c r="EA44" s="12" t="s">
        <v>121</v>
      </c>
      <c r="EB44" s="32" t="s">
        <v>91</v>
      </c>
      <c r="EC44" s="32" t="s">
        <v>371</v>
      </c>
      <c r="ED44" t="s">
        <v>88</v>
      </c>
      <c r="EE44" s="12" t="s">
        <v>121</v>
      </c>
      <c r="EF44" s="32" t="s">
        <v>91</v>
      </c>
      <c r="EG44" s="32" t="s">
        <v>371</v>
      </c>
      <c r="EH44" t="s">
        <v>88</v>
      </c>
      <c r="EI44" s="12" t="s">
        <v>121</v>
      </c>
      <c r="EJ44" s="32" t="s">
        <v>91</v>
      </c>
      <c r="EK44" s="32" t="s">
        <v>371</v>
      </c>
      <c r="EL44" t="s">
        <v>88</v>
      </c>
      <c r="EM44" s="12" t="s">
        <v>121</v>
      </c>
      <c r="EN44" s="32" t="s">
        <v>91</v>
      </c>
      <c r="EO44" s="32" t="s">
        <v>371</v>
      </c>
      <c r="EP44" t="s">
        <v>88</v>
      </c>
      <c r="EQ44" s="12" t="s">
        <v>121</v>
      </c>
      <c r="ER44" s="32" t="s">
        <v>91</v>
      </c>
      <c r="ES44" s="32" t="s">
        <v>371</v>
      </c>
      <c r="ET44" t="s">
        <v>88</v>
      </c>
      <c r="EU44" s="12" t="s">
        <v>121</v>
      </c>
      <c r="EV44" s="32" t="s">
        <v>91</v>
      </c>
      <c r="EW44" s="32" t="s">
        <v>371</v>
      </c>
      <c r="EX44" t="s">
        <v>88</v>
      </c>
      <c r="EY44" s="12" t="s">
        <v>121</v>
      </c>
      <c r="EZ44" s="32" t="s">
        <v>91</v>
      </c>
      <c r="FA44" s="32" t="s">
        <v>371</v>
      </c>
      <c r="FB44" t="s">
        <v>88</v>
      </c>
      <c r="FC44" s="12" t="s">
        <v>121</v>
      </c>
      <c r="FD44" s="32" t="s">
        <v>91</v>
      </c>
      <c r="FE44" s="32" t="s">
        <v>371</v>
      </c>
      <c r="FF44" t="s">
        <v>88</v>
      </c>
      <c r="FG44" s="12" t="s">
        <v>121</v>
      </c>
      <c r="FH44" s="32" t="s">
        <v>91</v>
      </c>
      <c r="FI44" s="32" t="s">
        <v>371</v>
      </c>
      <c r="FJ44" t="s">
        <v>88</v>
      </c>
      <c r="FK44" s="12" t="s">
        <v>121</v>
      </c>
      <c r="FL44" s="32" t="s">
        <v>91</v>
      </c>
      <c r="FM44" s="32" t="s">
        <v>371</v>
      </c>
      <c r="FN44" t="s">
        <v>88</v>
      </c>
      <c r="FO44" s="12" t="s">
        <v>121</v>
      </c>
      <c r="FP44" s="32" t="s">
        <v>91</v>
      </c>
      <c r="FQ44" s="32" t="s">
        <v>371</v>
      </c>
      <c r="FR44" t="s">
        <v>88</v>
      </c>
      <c r="FS44" s="12" t="s">
        <v>121</v>
      </c>
      <c r="FT44" s="32" t="s">
        <v>91</v>
      </c>
      <c r="FU44" s="32" t="s">
        <v>371</v>
      </c>
      <c r="FV44" t="s">
        <v>88</v>
      </c>
      <c r="FW44" s="12" t="s">
        <v>121</v>
      </c>
      <c r="FX44" s="32" t="s">
        <v>91</v>
      </c>
      <c r="FY44" s="32" t="s">
        <v>371</v>
      </c>
      <c r="FZ44" t="s">
        <v>88</v>
      </c>
      <c r="GA44" s="12" t="s">
        <v>121</v>
      </c>
      <c r="GB44" s="32" t="s">
        <v>91</v>
      </c>
      <c r="GC44" s="32" t="s">
        <v>371</v>
      </c>
      <c r="GD44" t="s">
        <v>88</v>
      </c>
      <c r="GE44" s="12" t="s">
        <v>121</v>
      </c>
      <c r="GF44" s="32" t="s">
        <v>91</v>
      </c>
      <c r="GG44" s="32" t="s">
        <v>371</v>
      </c>
      <c r="GH44" t="s">
        <v>88</v>
      </c>
      <c r="GI44" s="12" t="s">
        <v>121</v>
      </c>
      <c r="GJ44" s="32" t="s">
        <v>91</v>
      </c>
      <c r="GK44" s="32" t="s">
        <v>371</v>
      </c>
      <c r="GL44" t="s">
        <v>88</v>
      </c>
      <c r="GM44" s="12" t="s">
        <v>121</v>
      </c>
      <c r="GN44" s="32" t="s">
        <v>91</v>
      </c>
      <c r="GO44" s="32" t="s">
        <v>371</v>
      </c>
      <c r="GP44" t="s">
        <v>88</v>
      </c>
      <c r="GQ44" s="12" t="s">
        <v>121</v>
      </c>
      <c r="GR44" s="32" t="s">
        <v>91</v>
      </c>
      <c r="GS44" s="32" t="s">
        <v>371</v>
      </c>
      <c r="GT44" t="s">
        <v>88</v>
      </c>
      <c r="GU44" s="12" t="s">
        <v>121</v>
      </c>
      <c r="GV44" s="32" t="s">
        <v>91</v>
      </c>
      <c r="GW44" s="32" t="s">
        <v>371</v>
      </c>
      <c r="GX44" t="s">
        <v>88</v>
      </c>
      <c r="GY44" s="12" t="s">
        <v>121</v>
      </c>
      <c r="GZ44" s="32" t="s">
        <v>91</v>
      </c>
      <c r="HA44" s="32" t="s">
        <v>371</v>
      </c>
      <c r="HB44" t="s">
        <v>88</v>
      </c>
      <c r="HC44" s="12" t="s">
        <v>121</v>
      </c>
      <c r="HD44" s="32" t="s">
        <v>91</v>
      </c>
      <c r="HE44" s="32" t="s">
        <v>371</v>
      </c>
      <c r="HF44" t="s">
        <v>88</v>
      </c>
      <c r="HG44" s="12" t="s">
        <v>121</v>
      </c>
      <c r="HH44" s="32" t="s">
        <v>91</v>
      </c>
      <c r="HI44" s="32" t="s">
        <v>371</v>
      </c>
      <c r="HJ44" t="s">
        <v>88</v>
      </c>
      <c r="HK44" s="12" t="s">
        <v>121</v>
      </c>
      <c r="HL44" s="32" t="s">
        <v>91</v>
      </c>
      <c r="HM44" s="32" t="s">
        <v>371</v>
      </c>
      <c r="HN44" t="s">
        <v>88</v>
      </c>
      <c r="HO44" s="12" t="s">
        <v>121</v>
      </c>
      <c r="HP44" s="32" t="s">
        <v>91</v>
      </c>
      <c r="HQ44" s="32" t="s">
        <v>371</v>
      </c>
      <c r="HR44" t="s">
        <v>88</v>
      </c>
      <c r="HS44" s="12" t="s">
        <v>121</v>
      </c>
      <c r="HT44" s="32" t="s">
        <v>91</v>
      </c>
      <c r="HU44" s="32" t="s">
        <v>371</v>
      </c>
      <c r="HV44" t="s">
        <v>88</v>
      </c>
      <c r="HW44" s="12" t="s">
        <v>121</v>
      </c>
      <c r="HX44" s="32" t="s">
        <v>91</v>
      </c>
      <c r="HY44" s="32" t="s">
        <v>371</v>
      </c>
      <c r="HZ44" t="s">
        <v>88</v>
      </c>
      <c r="IA44" s="12" t="s">
        <v>121</v>
      </c>
      <c r="IB44" s="32" t="s">
        <v>91</v>
      </c>
      <c r="IC44" s="32" t="s">
        <v>371</v>
      </c>
      <c r="ID44" t="s">
        <v>88</v>
      </c>
      <c r="IE44" s="12" t="s">
        <v>121</v>
      </c>
      <c r="IF44" s="32" t="s">
        <v>91</v>
      </c>
      <c r="IG44" s="32" t="s">
        <v>371</v>
      </c>
      <c r="IH44" t="s">
        <v>88</v>
      </c>
      <c r="II44" s="12" t="s">
        <v>121</v>
      </c>
      <c r="IJ44" s="32" t="s">
        <v>91</v>
      </c>
      <c r="IK44" s="32" t="s">
        <v>371</v>
      </c>
      <c r="IL44" t="s">
        <v>88</v>
      </c>
      <c r="IM44" s="12" t="s">
        <v>121</v>
      </c>
      <c r="IN44" s="32" t="s">
        <v>91</v>
      </c>
      <c r="IO44" s="32" t="s">
        <v>371</v>
      </c>
      <c r="IP44" t="s">
        <v>88</v>
      </c>
      <c r="IQ44" s="12" t="s">
        <v>121</v>
      </c>
      <c r="IR44" s="32" t="s">
        <v>91</v>
      </c>
      <c r="IS44" s="32" t="s">
        <v>371</v>
      </c>
      <c r="IT44" t="s">
        <v>88</v>
      </c>
      <c r="IU44" s="12" t="s">
        <v>121</v>
      </c>
      <c r="IV44" s="32" t="s">
        <v>91</v>
      </c>
      <c r="IW44" s="32" t="s">
        <v>371</v>
      </c>
      <c r="IX44" t="s">
        <v>88</v>
      </c>
      <c r="IY44" s="12" t="s">
        <v>121</v>
      </c>
      <c r="IZ44" s="32" t="s">
        <v>91</v>
      </c>
      <c r="JA44" s="32" t="s">
        <v>371</v>
      </c>
      <c r="JB44" t="s">
        <v>88</v>
      </c>
      <c r="JC44" s="12" t="s">
        <v>121</v>
      </c>
      <c r="JD44" s="32" t="s">
        <v>91</v>
      </c>
      <c r="JE44" s="32" t="s">
        <v>371</v>
      </c>
      <c r="JF44" t="s">
        <v>88</v>
      </c>
      <c r="JG44" s="12" t="s">
        <v>121</v>
      </c>
      <c r="JH44" s="32" t="s">
        <v>91</v>
      </c>
      <c r="JI44" s="32" t="s">
        <v>371</v>
      </c>
      <c r="JJ44" t="s">
        <v>88</v>
      </c>
      <c r="JK44" s="12" t="s">
        <v>121</v>
      </c>
      <c r="JL44" s="32" t="s">
        <v>91</v>
      </c>
      <c r="JM44" s="32" t="s">
        <v>371</v>
      </c>
      <c r="JN44" t="s">
        <v>88</v>
      </c>
      <c r="JO44" s="12" t="s">
        <v>121</v>
      </c>
      <c r="JP44" s="32" t="s">
        <v>91</v>
      </c>
      <c r="JQ44" s="32" t="s">
        <v>371</v>
      </c>
      <c r="JR44" t="s">
        <v>88</v>
      </c>
      <c r="JS44" s="12" t="s">
        <v>121</v>
      </c>
      <c r="JT44" s="32" t="s">
        <v>91</v>
      </c>
      <c r="JU44" s="32" t="s">
        <v>371</v>
      </c>
      <c r="JV44" t="s">
        <v>88</v>
      </c>
      <c r="JW44" s="12" t="s">
        <v>121</v>
      </c>
      <c r="JX44" s="32" t="s">
        <v>91</v>
      </c>
      <c r="JY44" s="32" t="s">
        <v>371</v>
      </c>
    </row>
    <row r="45" spans="1:285" ht="15" x14ac:dyDescent="0.25">
      <c r="A45" s="23"/>
      <c r="B45" s="80">
        <v>0</v>
      </c>
      <c r="C45" s="20">
        <v>1.8423860000000001</v>
      </c>
      <c r="D45" s="139"/>
      <c r="E45" s="139"/>
      <c r="F45" s="80">
        <v>0</v>
      </c>
      <c r="G45" s="20">
        <v>1.6578800000000002</v>
      </c>
      <c r="H45" s="139"/>
      <c r="J45" s="80">
        <v>0</v>
      </c>
      <c r="K45" s="20">
        <v>1.1043620000000001</v>
      </c>
      <c r="L45" s="139"/>
      <c r="M45" s="20"/>
      <c r="N45" s="46">
        <v>0</v>
      </c>
      <c r="O45" s="20">
        <v>0</v>
      </c>
      <c r="P45" s="139"/>
      <c r="Q45" s="139"/>
      <c r="R45" s="46"/>
      <c r="T45" s="46"/>
      <c r="U45" s="46"/>
      <c r="V45" s="45"/>
      <c r="W45" s="11"/>
      <c r="X45" s="11"/>
      <c r="Y45" s="11"/>
      <c r="Z45" s="21"/>
      <c r="AA45" s="21"/>
      <c r="AB45" s="21"/>
      <c r="AC45" s="21"/>
      <c r="AD45" s="10"/>
      <c r="AE45" s="10"/>
      <c r="AF45" s="10"/>
      <c r="AG45" s="10"/>
      <c r="AH45" s="10"/>
      <c r="AP45" s="80">
        <v>0.17899999999999999</v>
      </c>
      <c r="AQ45" s="80">
        <v>21.5</v>
      </c>
      <c r="AT45" s="80">
        <v>0.314</v>
      </c>
      <c r="AU45" s="80">
        <v>1.67</v>
      </c>
      <c r="AX45" s="80">
        <v>9.1200000000000003E-2</v>
      </c>
      <c r="AY45" s="80">
        <v>14.7</v>
      </c>
      <c r="BB45" s="80">
        <v>0.129</v>
      </c>
      <c r="BC45" s="80">
        <v>4.51</v>
      </c>
      <c r="BF45" s="80">
        <v>8.3333333333333329E-2</v>
      </c>
      <c r="BG45" s="20">
        <v>46.260200000000005</v>
      </c>
      <c r="BV45" s="150">
        <v>0</v>
      </c>
      <c r="BW45" s="136">
        <v>0</v>
      </c>
      <c r="BX45" s="136">
        <v>0</v>
      </c>
      <c r="BY45" s="136">
        <v>0</v>
      </c>
      <c r="CL45" s="80">
        <v>0</v>
      </c>
      <c r="CM45" s="80">
        <v>0.18</v>
      </c>
      <c r="CP45" s="80">
        <v>0</v>
      </c>
      <c r="CQ45" s="80">
        <v>-2.61E-4</v>
      </c>
      <c r="CT45" s="80">
        <v>0</v>
      </c>
      <c r="CU45" s="80">
        <v>0</v>
      </c>
      <c r="CX45" s="159">
        <v>0</v>
      </c>
      <c r="CY45" s="159">
        <v>1.8E-3</v>
      </c>
      <c r="DB45" s="80">
        <v>0</v>
      </c>
      <c r="DC45" s="80">
        <v>0</v>
      </c>
      <c r="DF45" s="80">
        <v>0</v>
      </c>
      <c r="DG45" s="80">
        <v>0</v>
      </c>
      <c r="DJ45" s="80">
        <v>0</v>
      </c>
      <c r="DK45" s="80">
        <v>47.4</v>
      </c>
      <c r="DN45" s="80">
        <v>0</v>
      </c>
      <c r="DO45" s="80">
        <v>169</v>
      </c>
      <c r="ED45" s="80">
        <v>0</v>
      </c>
      <c r="EE45">
        <v>0</v>
      </c>
      <c r="EH45" s="131">
        <v>0</v>
      </c>
      <c r="EI45" s="20">
        <v>5.3375000000000004</v>
      </c>
      <c r="EJ45" s="196">
        <v>138.71630162951419</v>
      </c>
      <c r="EK45" s="196">
        <v>7.4039825994753201</v>
      </c>
      <c r="EL45" s="131">
        <v>0</v>
      </c>
      <c r="EM45" s="196">
        <v>0.82625250000000006</v>
      </c>
      <c r="EN45" s="196">
        <v>116.12318378908388</v>
      </c>
      <c r="EO45" s="196">
        <v>0.95947070913690036</v>
      </c>
      <c r="FN45" t="s">
        <v>601</v>
      </c>
      <c r="GD45" s="156">
        <v>0</v>
      </c>
      <c r="GE45" s="20">
        <v>0</v>
      </c>
      <c r="GH45" s="156">
        <v>0</v>
      </c>
      <c r="GI45" s="20">
        <v>0</v>
      </c>
      <c r="GL45" s="156">
        <v>0</v>
      </c>
      <c r="GM45" s="20">
        <v>0</v>
      </c>
      <c r="GN45" s="156"/>
      <c r="GO45" s="20"/>
      <c r="GP45" s="156">
        <v>0</v>
      </c>
      <c r="GQ45" s="20">
        <v>0</v>
      </c>
      <c r="GT45" s="80">
        <v>0</v>
      </c>
      <c r="GU45" s="80">
        <v>0.214</v>
      </c>
      <c r="GX45" s="80">
        <v>0</v>
      </c>
      <c r="GY45" s="80">
        <v>1.1200000000000001</v>
      </c>
      <c r="HB45" s="80">
        <v>0</v>
      </c>
      <c r="HC45" s="80">
        <v>0.44400000000000001</v>
      </c>
      <c r="HF45" s="80">
        <v>0</v>
      </c>
      <c r="HG45" s="80">
        <v>0.221</v>
      </c>
      <c r="HR45">
        <v>1</v>
      </c>
      <c r="HS45" s="20">
        <v>19.573680000000003</v>
      </c>
      <c r="HV45">
        <v>1</v>
      </c>
      <c r="HW45" s="20">
        <v>7.433720000000001</v>
      </c>
      <c r="HZ45" s="80">
        <v>1</v>
      </c>
      <c r="IA45" s="20">
        <v>3.7168600000000005</v>
      </c>
      <c r="ID45">
        <v>0.25</v>
      </c>
      <c r="IE45" s="20">
        <v>0.98403200000000013</v>
      </c>
      <c r="IH45">
        <v>0.25</v>
      </c>
      <c r="II45" s="20">
        <v>2.4199700000000006</v>
      </c>
      <c r="IL45">
        <v>0.25</v>
      </c>
      <c r="IM45" s="20">
        <v>1.941324</v>
      </c>
      <c r="IP45">
        <v>0.25</v>
      </c>
      <c r="IQ45" s="20">
        <v>2.4172959999999999</v>
      </c>
      <c r="IT45">
        <v>1</v>
      </c>
      <c r="IU45" s="20">
        <v>2.1365260000000004</v>
      </c>
      <c r="IX45">
        <v>1</v>
      </c>
      <c r="IY45" s="20">
        <v>1.1016880000000002</v>
      </c>
      <c r="JB45" s="80">
        <v>0.25</v>
      </c>
      <c r="JC45" s="20">
        <v>4.59</v>
      </c>
      <c r="JD45" s="156">
        <v>79.629629629629619</v>
      </c>
      <c r="JE45" s="20">
        <v>3.6549999999999998</v>
      </c>
      <c r="JF45" s="80">
        <v>0.5</v>
      </c>
      <c r="JG45" s="20">
        <v>31.1</v>
      </c>
      <c r="JH45" s="156">
        <v>100.32154340836011</v>
      </c>
      <c r="JI45" s="20">
        <v>31.199999999999996</v>
      </c>
      <c r="JR45" s="80">
        <v>0</v>
      </c>
      <c r="JS45" s="80">
        <v>0</v>
      </c>
      <c r="JT45">
        <v>0</v>
      </c>
      <c r="JU45" s="20">
        <v>0</v>
      </c>
      <c r="JV45" s="80">
        <v>0</v>
      </c>
      <c r="JW45" s="80">
        <v>0</v>
      </c>
      <c r="JX45">
        <v>0</v>
      </c>
      <c r="JY45" s="20">
        <v>4.8410000000000002</v>
      </c>
    </row>
    <row r="46" spans="1:285" ht="15" x14ac:dyDescent="0.25">
      <c r="A46" s="23"/>
      <c r="B46" s="80">
        <v>0.5</v>
      </c>
      <c r="C46" s="20">
        <v>3.5029400000000002</v>
      </c>
      <c r="D46" s="139"/>
      <c r="E46" s="139"/>
      <c r="F46" s="80">
        <v>0.5</v>
      </c>
      <c r="G46" s="20">
        <v>3.8773000000000004</v>
      </c>
      <c r="H46" s="139"/>
      <c r="J46" s="80">
        <v>0.5</v>
      </c>
      <c r="K46" s="20">
        <v>23.397500000000001</v>
      </c>
      <c r="L46" s="139"/>
      <c r="M46" s="20"/>
      <c r="N46" s="46">
        <v>0.5</v>
      </c>
      <c r="O46" s="20">
        <v>49.469000000000008</v>
      </c>
      <c r="P46" s="139"/>
      <c r="Q46" s="139"/>
      <c r="R46" s="46"/>
      <c r="T46" s="46"/>
      <c r="U46" s="46"/>
      <c r="V46" s="45"/>
      <c r="W46" s="11"/>
      <c r="X46" s="11"/>
      <c r="Y46" s="11"/>
      <c r="Z46" s="21"/>
      <c r="AA46" s="21"/>
      <c r="AB46" s="21"/>
      <c r="AC46" s="21"/>
      <c r="AD46" s="10"/>
      <c r="AE46" s="10"/>
      <c r="AF46" s="10"/>
      <c r="AG46" s="10"/>
      <c r="AH46" s="10"/>
      <c r="AP46" s="80">
        <v>0.20300000000000001</v>
      </c>
      <c r="AQ46" s="80">
        <v>17</v>
      </c>
      <c r="AT46" s="80">
        <v>0.443</v>
      </c>
      <c r="AU46" s="80">
        <v>5.22</v>
      </c>
      <c r="AX46" s="80">
        <v>0.16500000000000001</v>
      </c>
      <c r="AY46" s="80">
        <v>16</v>
      </c>
      <c r="BB46" s="80">
        <v>0.24299999999999999</v>
      </c>
      <c r="BC46" s="80">
        <v>16.5</v>
      </c>
      <c r="BF46" s="80">
        <v>0.16666666666666666</v>
      </c>
      <c r="BG46" s="20">
        <v>39.842600000000004</v>
      </c>
      <c r="BV46" s="150">
        <v>0.5</v>
      </c>
      <c r="BW46" s="130">
        <v>89.7</v>
      </c>
      <c r="BX46" s="157">
        <v>14.938684503901902</v>
      </c>
      <c r="BY46" s="130">
        <v>13.400000000000006</v>
      </c>
      <c r="BZ46" s="80"/>
      <c r="CL46" s="80">
        <v>0.65800000000000003</v>
      </c>
      <c r="CM46" s="80">
        <v>6.5</v>
      </c>
      <c r="CP46" s="80">
        <v>0.5</v>
      </c>
      <c r="CQ46" s="80">
        <v>8.1199999999999992</v>
      </c>
      <c r="CT46" s="80">
        <v>0.5</v>
      </c>
      <c r="CU46" s="80">
        <v>5.42</v>
      </c>
      <c r="CX46" s="159">
        <v>0.25</v>
      </c>
      <c r="CY46" s="159">
        <v>4.6399999999999997</v>
      </c>
      <c r="DB46" s="80">
        <v>1</v>
      </c>
      <c r="DC46" s="80">
        <v>76.2</v>
      </c>
      <c r="DF46" s="80">
        <v>1</v>
      </c>
      <c r="DG46" s="80">
        <v>1.61</v>
      </c>
      <c r="DJ46" s="80">
        <v>1</v>
      </c>
      <c r="DK46" s="80">
        <v>132</v>
      </c>
      <c r="DN46" s="80">
        <v>1</v>
      </c>
      <c r="DO46" s="80">
        <v>160</v>
      </c>
      <c r="ED46" s="80">
        <v>1</v>
      </c>
      <c r="EE46">
        <v>0</v>
      </c>
      <c r="EH46" s="125">
        <v>0.5</v>
      </c>
      <c r="EI46" s="20">
        <v>195.62</v>
      </c>
      <c r="EJ46" s="196">
        <v>119.95796946802994</v>
      </c>
      <c r="EK46" s="196">
        <v>234.66177987336016</v>
      </c>
      <c r="EL46" s="125">
        <v>0.5</v>
      </c>
      <c r="EM46" s="196">
        <v>75.474999999999994</v>
      </c>
      <c r="EN46" s="196">
        <v>68.276340503178346</v>
      </c>
      <c r="EO46" s="196">
        <v>51.531567994773852</v>
      </c>
      <c r="GD46" s="156">
        <v>2</v>
      </c>
      <c r="GE46" s="20">
        <v>22.1</v>
      </c>
      <c r="GH46" s="156">
        <v>2</v>
      </c>
      <c r="GI46" s="20">
        <v>26.6</v>
      </c>
      <c r="GL46" s="156">
        <v>2</v>
      </c>
      <c r="GM46" s="20">
        <v>32.9</v>
      </c>
      <c r="GN46" s="156"/>
      <c r="GO46" s="20"/>
      <c r="GP46" s="156">
        <v>2</v>
      </c>
      <c r="GQ46" s="20">
        <v>17.100000000000001</v>
      </c>
      <c r="GT46" s="80">
        <v>2</v>
      </c>
      <c r="GU46" s="80">
        <v>15.4</v>
      </c>
      <c r="GX46" s="80">
        <v>2</v>
      </c>
      <c r="GY46" s="80">
        <v>14</v>
      </c>
      <c r="HB46" s="80">
        <v>2</v>
      </c>
      <c r="HC46" s="80">
        <v>11.7</v>
      </c>
      <c r="HF46" s="80">
        <v>2</v>
      </c>
      <c r="HG46" s="80">
        <v>9.68</v>
      </c>
      <c r="HR46">
        <v>2</v>
      </c>
      <c r="HS46" s="20">
        <v>35.029400000000003</v>
      </c>
      <c r="HV46">
        <v>2</v>
      </c>
      <c r="HW46" s="20">
        <v>19.573680000000003</v>
      </c>
      <c r="HZ46" s="80">
        <v>2</v>
      </c>
      <c r="IA46" s="20">
        <v>8.1289600000000011</v>
      </c>
      <c r="ID46">
        <v>0.5</v>
      </c>
      <c r="IE46" s="20">
        <v>35.564200000000007</v>
      </c>
      <c r="IH46">
        <v>0.5</v>
      </c>
      <c r="II46" s="20">
        <v>1.4626780000000001</v>
      </c>
      <c r="IL46">
        <v>0.5</v>
      </c>
      <c r="IM46" s="20">
        <v>52.143000000000008</v>
      </c>
      <c r="IP46">
        <v>0.5</v>
      </c>
      <c r="IQ46" s="20">
        <v>212.85040000000001</v>
      </c>
      <c r="IT46">
        <v>2</v>
      </c>
      <c r="IU46" s="20">
        <v>8.1022200000000009</v>
      </c>
      <c r="IX46">
        <v>2</v>
      </c>
      <c r="IY46" s="20">
        <v>5.6688800000000006</v>
      </c>
      <c r="JB46" s="80">
        <v>0.5</v>
      </c>
      <c r="JC46" s="20">
        <v>65.5</v>
      </c>
      <c r="JD46" s="156">
        <v>96.18320610687023</v>
      </c>
      <c r="JE46" s="20">
        <v>63</v>
      </c>
      <c r="JF46" s="80">
        <v>0.75</v>
      </c>
      <c r="JG46" s="20">
        <v>38.1</v>
      </c>
      <c r="JH46" s="156">
        <v>141.46981627296589</v>
      </c>
      <c r="JI46" s="20">
        <v>53.9</v>
      </c>
      <c r="JR46" s="80">
        <v>0.25</v>
      </c>
      <c r="JS46" s="80">
        <v>6.96</v>
      </c>
      <c r="JT46" s="156">
        <f t="shared" ref="JT46:JT60" si="3">100/JS46*JU46</f>
        <v>160.05747126436782</v>
      </c>
      <c r="JU46" s="20">
        <v>11.14</v>
      </c>
      <c r="JV46" s="80">
        <v>0.25</v>
      </c>
      <c r="JW46" s="80">
        <v>6.22</v>
      </c>
      <c r="JX46" s="156">
        <v>178.13504823151129</v>
      </c>
      <c r="JY46" s="20">
        <v>11.080000000000002</v>
      </c>
    </row>
    <row r="47" spans="1:285" ht="15" x14ac:dyDescent="0.25">
      <c r="A47" s="23"/>
      <c r="B47" s="80">
        <v>1</v>
      </c>
      <c r="C47" s="20">
        <v>7.3802400000000015</v>
      </c>
      <c r="D47" s="139"/>
      <c r="E47" s="139"/>
      <c r="F47" s="80">
        <v>1</v>
      </c>
      <c r="G47" s="20">
        <v>5.5351800000000004</v>
      </c>
      <c r="H47" s="139"/>
      <c r="J47" s="80">
        <v>1</v>
      </c>
      <c r="K47" s="20">
        <v>41.981800000000007</v>
      </c>
      <c r="L47" s="139"/>
      <c r="M47" s="20"/>
      <c r="N47" s="46">
        <v>1</v>
      </c>
      <c r="O47" s="20">
        <v>81.022200000000012</v>
      </c>
      <c r="P47" s="139"/>
      <c r="Q47" s="139"/>
      <c r="R47" s="46"/>
      <c r="T47" s="46"/>
      <c r="U47" s="46"/>
      <c r="V47" s="45"/>
      <c r="W47" s="11"/>
      <c r="X47" s="11"/>
      <c r="Y47" s="11"/>
      <c r="Z47" s="21"/>
      <c r="AA47" s="21"/>
      <c r="AB47" s="21"/>
      <c r="AC47" s="21"/>
      <c r="AD47" s="10"/>
      <c r="AE47" s="10"/>
      <c r="AF47" s="10"/>
      <c r="AG47" s="10"/>
      <c r="AH47" s="10"/>
      <c r="AP47" s="80">
        <v>0.314</v>
      </c>
      <c r="AQ47" s="80">
        <v>18</v>
      </c>
      <c r="AT47" s="80">
        <v>0.61399999999999999</v>
      </c>
      <c r="AU47" s="80">
        <v>5.99</v>
      </c>
      <c r="AX47" s="80">
        <v>0.28999999999999998</v>
      </c>
      <c r="AY47" s="80">
        <v>20</v>
      </c>
      <c r="BB47" s="80">
        <v>0.45700000000000002</v>
      </c>
      <c r="BC47" s="80">
        <v>39.6</v>
      </c>
      <c r="BF47" s="80">
        <v>0.25</v>
      </c>
      <c r="BG47" s="20">
        <v>36.901200000000003</v>
      </c>
      <c r="BV47" s="150">
        <v>1</v>
      </c>
      <c r="BW47" s="130">
        <v>141</v>
      </c>
      <c r="BX47" s="157">
        <v>11.347517730496454</v>
      </c>
      <c r="BY47" s="130">
        <v>16</v>
      </c>
      <c r="BZ47" s="80"/>
      <c r="CL47" s="80">
        <v>1</v>
      </c>
      <c r="CM47" s="80">
        <v>39.700000000000003</v>
      </c>
      <c r="CP47" s="80">
        <v>1</v>
      </c>
      <c r="CQ47" s="80">
        <v>26.4</v>
      </c>
      <c r="CT47" s="80">
        <v>1</v>
      </c>
      <c r="CU47" s="80">
        <v>19.3</v>
      </c>
      <c r="CX47" s="159">
        <v>0.5</v>
      </c>
      <c r="CY47" s="159">
        <v>20.9</v>
      </c>
      <c r="DB47" s="80">
        <v>2</v>
      </c>
      <c r="DC47" s="80">
        <v>131</v>
      </c>
      <c r="DF47" s="80">
        <v>2</v>
      </c>
      <c r="DG47" s="80">
        <v>13.3</v>
      </c>
      <c r="DJ47" s="80">
        <v>2</v>
      </c>
      <c r="DK47" s="80">
        <v>230</v>
      </c>
      <c r="DN47" s="80">
        <v>2</v>
      </c>
      <c r="DO47" s="80">
        <v>156</v>
      </c>
      <c r="ED47" s="80">
        <v>2</v>
      </c>
      <c r="EE47">
        <v>0</v>
      </c>
      <c r="EH47" s="98">
        <v>1</v>
      </c>
      <c r="EI47" s="20">
        <v>763.88249999999994</v>
      </c>
      <c r="EJ47" s="196">
        <v>84.502689731369827</v>
      </c>
      <c r="EK47" s="196">
        <v>645.50125888723107</v>
      </c>
      <c r="EL47" s="98">
        <v>1</v>
      </c>
      <c r="EM47" s="196">
        <v>98.4</v>
      </c>
      <c r="EN47" s="196">
        <v>29.818303926213932</v>
      </c>
      <c r="EO47" s="196">
        <v>29.341211063394514</v>
      </c>
      <c r="GD47" s="156">
        <v>3</v>
      </c>
      <c r="GE47" s="20">
        <v>64.2</v>
      </c>
      <c r="GH47" s="156">
        <v>3</v>
      </c>
      <c r="GI47" s="20">
        <v>38.700000000000003</v>
      </c>
      <c r="GL47" s="156">
        <v>3</v>
      </c>
      <c r="GM47" s="20">
        <v>40.1</v>
      </c>
      <c r="GN47" s="156"/>
      <c r="GO47" s="20"/>
      <c r="GP47" s="156">
        <v>3</v>
      </c>
      <c r="GQ47" s="20">
        <v>25.7</v>
      </c>
      <c r="GT47" s="80">
        <v>3</v>
      </c>
      <c r="GU47" s="80">
        <v>28.9</v>
      </c>
      <c r="GX47" s="80">
        <v>3</v>
      </c>
      <c r="GY47" s="80">
        <v>21.7</v>
      </c>
      <c r="HB47" s="80">
        <v>3</v>
      </c>
      <c r="HC47" s="80">
        <v>19.399999999999999</v>
      </c>
      <c r="HF47" s="80">
        <v>3</v>
      </c>
      <c r="HG47" s="80">
        <v>17.399999999999999</v>
      </c>
      <c r="HR47">
        <v>3</v>
      </c>
      <c r="HS47" s="20">
        <v>50.003800000000005</v>
      </c>
      <c r="HV47">
        <v>3</v>
      </c>
      <c r="HW47" s="20">
        <v>23.852080000000004</v>
      </c>
      <c r="HZ47" s="80">
        <v>3</v>
      </c>
      <c r="IA47" s="20">
        <v>10.348380000000002</v>
      </c>
      <c r="ID47">
        <v>0.75</v>
      </c>
      <c r="IE47" s="20">
        <v>64.710800000000006</v>
      </c>
      <c r="IH47">
        <v>0.75</v>
      </c>
      <c r="II47" s="20">
        <v>28.344400000000004</v>
      </c>
      <c r="IL47">
        <v>0.75</v>
      </c>
      <c r="IM47" s="20">
        <v>64.176000000000002</v>
      </c>
      <c r="IP47">
        <v>0.75</v>
      </c>
      <c r="IQ47" s="20">
        <v>250.28640000000001</v>
      </c>
      <c r="IT47">
        <v>3</v>
      </c>
      <c r="IU47" s="20">
        <v>11.2308</v>
      </c>
      <c r="IX47">
        <v>3</v>
      </c>
      <c r="IY47" s="20">
        <v>9.1450800000000019</v>
      </c>
      <c r="JB47" s="80">
        <v>0.75</v>
      </c>
      <c r="JC47" s="20">
        <v>104</v>
      </c>
      <c r="JD47" s="156">
        <v>66.250000000000014</v>
      </c>
      <c r="JE47" s="20">
        <v>68.900000000000006</v>
      </c>
      <c r="JF47" s="80">
        <v>1</v>
      </c>
      <c r="JG47" s="20">
        <v>53.5</v>
      </c>
      <c r="JH47" s="156">
        <v>47.663551401869157</v>
      </c>
      <c r="JI47" s="20">
        <v>25.5</v>
      </c>
      <c r="JR47" s="80">
        <v>0.5</v>
      </c>
      <c r="JS47" s="80">
        <v>29.9</v>
      </c>
      <c r="JT47" s="156">
        <f t="shared" si="3"/>
        <v>33.779264214046826</v>
      </c>
      <c r="JU47" s="20">
        <v>10.100000000000001</v>
      </c>
      <c r="JV47" s="80">
        <v>0.5</v>
      </c>
      <c r="JW47" s="80">
        <v>24.9</v>
      </c>
      <c r="JX47" s="156">
        <v>100</v>
      </c>
      <c r="JY47" s="20">
        <v>24.9</v>
      </c>
    </row>
    <row r="48" spans="1:285" ht="15" x14ac:dyDescent="0.25">
      <c r="A48" s="23"/>
      <c r="B48" s="80">
        <v>1.5</v>
      </c>
      <c r="C48" s="20">
        <v>11.417980000000002</v>
      </c>
      <c r="D48" s="139"/>
      <c r="E48" s="139"/>
      <c r="F48" s="80">
        <v>1.5</v>
      </c>
      <c r="G48" s="20">
        <v>7.5406800000000009</v>
      </c>
      <c r="H48" s="139"/>
      <c r="J48" s="80">
        <v>1.5</v>
      </c>
      <c r="K48" s="20">
        <v>45.992800000000003</v>
      </c>
      <c r="L48" s="139"/>
      <c r="M48" s="20"/>
      <c r="N48" s="46">
        <v>1.5</v>
      </c>
      <c r="O48" s="20">
        <v>87.439800000000005</v>
      </c>
      <c r="P48" s="139"/>
      <c r="Q48" s="139"/>
      <c r="R48" s="46"/>
      <c r="T48" s="46"/>
      <c r="U48" s="46"/>
      <c r="V48" s="45"/>
      <c r="W48" s="11"/>
      <c r="X48" s="11"/>
      <c r="Y48" s="11"/>
      <c r="Z48" s="21"/>
      <c r="AA48" s="21"/>
      <c r="AB48" s="21"/>
      <c r="AC48" s="21"/>
      <c r="AD48" s="10"/>
      <c r="AE48" s="10"/>
      <c r="AF48" s="10"/>
      <c r="AG48" s="10"/>
      <c r="AH48" s="10"/>
      <c r="AP48" s="80">
        <v>0.374</v>
      </c>
      <c r="AQ48" s="80">
        <v>15</v>
      </c>
      <c r="AT48" s="80">
        <v>0.75</v>
      </c>
      <c r="AU48" s="80">
        <v>6.94</v>
      </c>
      <c r="AX48" s="80">
        <v>0.48799999999999999</v>
      </c>
      <c r="AY48" s="80">
        <v>26.2</v>
      </c>
      <c r="BB48" s="80">
        <v>0.61399999999999999</v>
      </c>
      <c r="BC48" s="80">
        <v>63.8</v>
      </c>
      <c r="BF48" s="80">
        <v>0.33333333333333331</v>
      </c>
      <c r="BG48" s="20">
        <v>32.622800000000005</v>
      </c>
      <c r="BV48" s="150">
        <v>2</v>
      </c>
      <c r="BW48" s="130">
        <v>167</v>
      </c>
      <c r="BX48" s="157">
        <v>9.5808383233532926</v>
      </c>
      <c r="BY48" s="130">
        <v>16</v>
      </c>
      <c r="BZ48" s="80"/>
      <c r="CL48" s="80">
        <v>1.5</v>
      </c>
      <c r="CM48" s="80">
        <v>69.5</v>
      </c>
      <c r="CP48" s="80">
        <v>1.5</v>
      </c>
      <c r="CQ48" s="80">
        <v>45.1</v>
      </c>
      <c r="CT48" s="80">
        <v>1.5</v>
      </c>
      <c r="CU48" s="80">
        <v>30.7</v>
      </c>
      <c r="CX48" s="159">
        <v>1</v>
      </c>
      <c r="CY48" s="159">
        <v>43.7</v>
      </c>
      <c r="DB48" s="80">
        <v>3</v>
      </c>
      <c r="DC48" s="80">
        <v>103</v>
      </c>
      <c r="DF48" s="80">
        <v>3</v>
      </c>
      <c r="DG48" s="80">
        <v>27.2</v>
      </c>
      <c r="DJ48" s="80">
        <v>3</v>
      </c>
      <c r="DK48" s="80">
        <v>205</v>
      </c>
      <c r="DN48" s="80">
        <v>3</v>
      </c>
      <c r="DO48" s="80">
        <v>167</v>
      </c>
      <c r="ED48" s="80">
        <v>3</v>
      </c>
      <c r="EE48">
        <v>0</v>
      </c>
      <c r="EH48" s="83">
        <v>1.5</v>
      </c>
      <c r="EI48" s="20">
        <v>729.5</v>
      </c>
      <c r="EJ48" s="196">
        <v>48.763761538828909</v>
      </c>
      <c r="EK48" s="196">
        <v>355.73164042575689</v>
      </c>
      <c r="EL48" s="83">
        <v>1.5</v>
      </c>
      <c r="EM48" s="196">
        <v>156.25</v>
      </c>
      <c r="EN48" s="196">
        <v>29.334884807455211</v>
      </c>
      <c r="EO48" s="196">
        <v>45.835757511648765</v>
      </c>
      <c r="GD48" s="156">
        <v>4</v>
      </c>
      <c r="GE48" s="20">
        <v>69.599999999999994</v>
      </c>
      <c r="GH48" s="156">
        <v>4</v>
      </c>
      <c r="GI48" s="20">
        <v>49.5</v>
      </c>
      <c r="GL48" s="156">
        <v>4</v>
      </c>
      <c r="GM48" s="20">
        <v>45.7</v>
      </c>
      <c r="GN48" s="156"/>
      <c r="GO48" s="20"/>
      <c r="GP48" s="156">
        <v>4</v>
      </c>
      <c r="GQ48" s="20">
        <v>42.1</v>
      </c>
      <c r="GT48" s="80">
        <v>4</v>
      </c>
      <c r="GU48" s="80">
        <v>38.6</v>
      </c>
      <c r="GX48" s="80">
        <v>4</v>
      </c>
      <c r="GY48" s="80">
        <v>32.1</v>
      </c>
      <c r="HB48" s="80">
        <v>4</v>
      </c>
      <c r="HC48" s="80">
        <v>29.6</v>
      </c>
      <c r="HF48" s="80">
        <v>4</v>
      </c>
      <c r="HG48" s="80">
        <v>25.5</v>
      </c>
      <c r="HR48">
        <v>4</v>
      </c>
      <c r="HS48" s="20">
        <v>60.967200000000005</v>
      </c>
      <c r="HV48">
        <v>4</v>
      </c>
      <c r="HW48" s="20">
        <v>33.425000000000004</v>
      </c>
      <c r="HZ48" s="80">
        <v>4</v>
      </c>
      <c r="IA48" s="20">
        <v>14.198940000000002</v>
      </c>
      <c r="ID48">
        <v>2</v>
      </c>
      <c r="IE48" s="20">
        <v>100.27500000000001</v>
      </c>
      <c r="IH48">
        <v>2</v>
      </c>
      <c r="II48" s="20">
        <v>53.212600000000002</v>
      </c>
      <c r="IL48">
        <v>2</v>
      </c>
      <c r="IM48" s="20">
        <v>101.0772</v>
      </c>
      <c r="IP48">
        <v>2</v>
      </c>
      <c r="IQ48" s="20">
        <v>265.52820000000003</v>
      </c>
      <c r="IT48">
        <v>4</v>
      </c>
      <c r="IU48" s="20">
        <v>15.428980000000003</v>
      </c>
      <c r="IX48">
        <v>4</v>
      </c>
      <c r="IY48" s="20">
        <v>12.80846</v>
      </c>
      <c r="JB48" s="80">
        <v>1</v>
      </c>
      <c r="JC48" s="20">
        <v>129</v>
      </c>
      <c r="JD48" s="156">
        <v>39.767441860465119</v>
      </c>
      <c r="JE48" s="20">
        <v>51.3</v>
      </c>
      <c r="JF48" s="80">
        <v>1.5</v>
      </c>
      <c r="JG48" s="20">
        <v>46.8</v>
      </c>
      <c r="JH48" s="156">
        <v>69.01709401709401</v>
      </c>
      <c r="JI48" s="20">
        <v>32.299999999999997</v>
      </c>
      <c r="JR48" s="80">
        <v>0.75</v>
      </c>
      <c r="JS48" s="80">
        <v>57.4</v>
      </c>
      <c r="JT48" s="156">
        <f t="shared" si="3"/>
        <v>64.808362369337971</v>
      </c>
      <c r="JU48" s="20">
        <v>37.199999999999996</v>
      </c>
      <c r="JV48" s="80">
        <v>0.75</v>
      </c>
      <c r="JW48" s="80">
        <v>53.9</v>
      </c>
      <c r="JX48" s="156">
        <v>94.805194805194816</v>
      </c>
      <c r="JY48" s="20">
        <v>51.1</v>
      </c>
    </row>
    <row r="49" spans="1:285" ht="15" x14ac:dyDescent="0.25">
      <c r="A49" s="23"/>
      <c r="B49" s="80">
        <v>2</v>
      </c>
      <c r="C49" s="20">
        <v>18.985400000000002</v>
      </c>
      <c r="D49" s="139"/>
      <c r="E49" s="139"/>
      <c r="F49" s="80">
        <v>2</v>
      </c>
      <c r="G49" s="20">
        <v>10.134460000000001</v>
      </c>
      <c r="H49" s="139"/>
      <c r="J49" s="80">
        <v>2</v>
      </c>
      <c r="K49" s="20">
        <v>42.249200000000002</v>
      </c>
      <c r="L49" s="139"/>
      <c r="M49" s="20"/>
      <c r="N49" s="46">
        <v>2</v>
      </c>
      <c r="O49" s="20">
        <v>85.568000000000012</v>
      </c>
      <c r="P49" s="139"/>
      <c r="Q49" s="139"/>
      <c r="R49" s="46"/>
      <c r="T49" s="46"/>
      <c r="U49" s="46"/>
      <c r="V49" s="45"/>
      <c r="W49" s="11"/>
      <c r="X49" s="11"/>
      <c r="Y49" s="11"/>
      <c r="Z49" s="21"/>
      <c r="AA49" s="21"/>
      <c r="AB49" s="21"/>
      <c r="AC49" s="21"/>
      <c r="AD49" s="10"/>
      <c r="AE49" s="10"/>
      <c r="AF49" s="10"/>
      <c r="AG49" s="10"/>
      <c r="AH49" s="10"/>
      <c r="AP49" s="80">
        <v>0.55800000000000005</v>
      </c>
      <c r="AQ49" s="80">
        <v>13.3</v>
      </c>
      <c r="AT49" s="80">
        <v>1</v>
      </c>
      <c r="AU49" s="80">
        <v>7.17</v>
      </c>
      <c r="AX49" s="80">
        <v>0.40200000000000002</v>
      </c>
      <c r="AY49" s="80">
        <v>27.2</v>
      </c>
      <c r="BB49" s="80">
        <v>0.75</v>
      </c>
      <c r="BC49" s="80">
        <v>80.599999999999994</v>
      </c>
      <c r="BF49" s="80">
        <v>0.5</v>
      </c>
      <c r="BG49" s="20">
        <v>26.178460000000005</v>
      </c>
      <c r="BV49" s="150">
        <v>3</v>
      </c>
      <c r="BW49" s="130">
        <v>155</v>
      </c>
      <c r="BX49" s="157">
        <v>6.4516129032258061</v>
      </c>
      <c r="BY49" s="130">
        <v>10</v>
      </c>
      <c r="BZ49" s="80"/>
      <c r="CL49" s="80">
        <v>2</v>
      </c>
      <c r="CM49" s="80">
        <v>92.3</v>
      </c>
      <c r="CP49" s="80">
        <v>2</v>
      </c>
      <c r="CQ49" s="80">
        <v>62.3</v>
      </c>
      <c r="CT49" s="80">
        <v>2</v>
      </c>
      <c r="CU49" s="80">
        <v>39.200000000000003</v>
      </c>
      <c r="CX49" s="159">
        <v>1.5</v>
      </c>
      <c r="CY49" s="159">
        <v>54.5</v>
      </c>
      <c r="DB49" s="80">
        <v>4</v>
      </c>
      <c r="DC49" s="80">
        <v>98.2</v>
      </c>
      <c r="DF49" s="80">
        <v>4</v>
      </c>
      <c r="DG49" s="80">
        <v>47.6</v>
      </c>
      <c r="DJ49" s="80">
        <v>6</v>
      </c>
      <c r="DK49" s="80">
        <v>118</v>
      </c>
      <c r="DN49" s="80">
        <v>4</v>
      </c>
      <c r="DO49" s="80">
        <v>189</v>
      </c>
      <c r="ED49" s="80">
        <v>3.5</v>
      </c>
      <c r="EE49">
        <v>0</v>
      </c>
      <c r="EH49" s="83">
        <v>2</v>
      </c>
      <c r="EI49" s="20">
        <v>715</v>
      </c>
      <c r="EJ49" s="196">
        <v>19.101024498102426</v>
      </c>
      <c r="EK49" s="196">
        <v>136.57232516143233</v>
      </c>
      <c r="EL49" s="83">
        <v>2</v>
      </c>
      <c r="EM49" s="196">
        <v>222.3</v>
      </c>
      <c r="EN49" s="196">
        <v>55.352865931499842</v>
      </c>
      <c r="EO49" s="196">
        <v>123.04942096572415</v>
      </c>
      <c r="GD49" s="156">
        <v>6</v>
      </c>
      <c r="GE49" s="20">
        <v>76.8</v>
      </c>
      <c r="GH49" s="156">
        <v>6</v>
      </c>
      <c r="GI49" s="20">
        <v>82.9</v>
      </c>
      <c r="GL49" s="156">
        <v>6</v>
      </c>
      <c r="GM49" s="20">
        <v>60.6</v>
      </c>
      <c r="GN49" s="156"/>
      <c r="GO49" s="20"/>
      <c r="GP49" s="156">
        <v>6</v>
      </c>
      <c r="GQ49" s="20">
        <v>65.5</v>
      </c>
      <c r="GT49" s="80">
        <v>6</v>
      </c>
      <c r="GU49" s="80">
        <v>43.8</v>
      </c>
      <c r="GX49" s="80">
        <v>6</v>
      </c>
      <c r="GY49" s="80">
        <v>46.1</v>
      </c>
      <c r="HB49" s="80">
        <v>6</v>
      </c>
      <c r="HC49" s="80">
        <v>37.4</v>
      </c>
      <c r="HF49" s="80">
        <v>6</v>
      </c>
      <c r="HG49" s="80">
        <v>52.4</v>
      </c>
      <c r="HR49">
        <v>5</v>
      </c>
      <c r="HS49" s="20">
        <v>60.967200000000005</v>
      </c>
      <c r="HV49">
        <v>5</v>
      </c>
      <c r="HW49" s="20">
        <v>33.959800000000001</v>
      </c>
      <c r="HZ49" s="80">
        <v>5</v>
      </c>
      <c r="IA49" s="20">
        <v>15.428980000000003</v>
      </c>
      <c r="ID49">
        <v>3</v>
      </c>
      <c r="IE49" s="20">
        <v>125.94540000000001</v>
      </c>
      <c r="IH49">
        <v>3</v>
      </c>
      <c r="II49" s="20">
        <v>78.615600000000015</v>
      </c>
      <c r="IL49">
        <v>3</v>
      </c>
      <c r="IM49" s="20">
        <v>134.76960000000003</v>
      </c>
      <c r="IP49">
        <v>3</v>
      </c>
      <c r="IQ49" s="20">
        <v>238.52080000000004</v>
      </c>
      <c r="IT49">
        <v>5</v>
      </c>
      <c r="IU49" s="20">
        <v>15.32202</v>
      </c>
      <c r="IX49">
        <v>5</v>
      </c>
      <c r="IY49" s="20">
        <v>13.370000000000001</v>
      </c>
      <c r="JB49" s="80">
        <v>1.5</v>
      </c>
      <c r="JC49" s="20">
        <v>136</v>
      </c>
      <c r="JD49" s="156">
        <v>28.749999999999996</v>
      </c>
      <c r="JE49" s="20">
        <v>39.099999999999994</v>
      </c>
      <c r="JF49" s="80">
        <v>2</v>
      </c>
      <c r="JG49" s="20">
        <v>41.6</v>
      </c>
      <c r="JH49" s="156">
        <v>110.57692307692305</v>
      </c>
      <c r="JI49" s="20">
        <v>45.999999999999993</v>
      </c>
      <c r="JR49" s="80">
        <v>1</v>
      </c>
      <c r="JS49" s="80">
        <v>74.400000000000006</v>
      </c>
      <c r="JT49" s="156">
        <f t="shared" si="3"/>
        <v>35.752688172043001</v>
      </c>
      <c r="JU49" s="20">
        <v>26.599999999999994</v>
      </c>
      <c r="JV49" s="80">
        <v>1</v>
      </c>
      <c r="JW49" s="80">
        <v>98.8</v>
      </c>
      <c r="JX49" s="156">
        <v>69.02834008097166</v>
      </c>
      <c r="JY49" s="20">
        <v>68.2</v>
      </c>
    </row>
    <row r="50" spans="1:285" ht="15" x14ac:dyDescent="0.25">
      <c r="A50" s="23"/>
      <c r="B50" s="80">
        <v>3</v>
      </c>
      <c r="C50" s="20">
        <v>35.296800000000005</v>
      </c>
      <c r="D50" s="139"/>
      <c r="E50" s="139"/>
      <c r="F50" s="80">
        <v>3</v>
      </c>
      <c r="G50" s="20">
        <v>14.011760000000001</v>
      </c>
      <c r="H50" s="139"/>
      <c r="J50" s="80">
        <v>3</v>
      </c>
      <c r="K50" s="20">
        <v>36.099000000000004</v>
      </c>
      <c r="L50" s="139"/>
      <c r="M50" s="20"/>
      <c r="N50" s="46">
        <v>3</v>
      </c>
      <c r="O50" s="20">
        <v>73.535000000000011</v>
      </c>
      <c r="P50" s="139"/>
      <c r="Q50" s="139"/>
      <c r="R50" s="46"/>
      <c r="T50" s="46"/>
      <c r="U50" s="46"/>
      <c r="V50" s="45"/>
      <c r="W50" s="11"/>
      <c r="X50" s="11"/>
      <c r="Y50" s="11"/>
      <c r="Z50" s="21"/>
      <c r="AA50" s="21"/>
      <c r="AB50" s="21"/>
      <c r="AC50" s="21"/>
      <c r="AD50" s="10"/>
      <c r="AE50" s="10"/>
      <c r="AF50" s="10"/>
      <c r="AG50" s="10"/>
      <c r="AH50" s="10"/>
      <c r="AP50" s="80">
        <v>0.71699999999999997</v>
      </c>
      <c r="AQ50" s="80">
        <v>11.9</v>
      </c>
      <c r="AT50" s="80">
        <v>1.25</v>
      </c>
      <c r="AU50" s="80">
        <v>5.47</v>
      </c>
      <c r="AX50" s="80">
        <v>0.55100000000000005</v>
      </c>
      <c r="AY50" s="80">
        <v>33.200000000000003</v>
      </c>
      <c r="BB50" s="80">
        <v>1</v>
      </c>
      <c r="BC50" s="80">
        <v>92.6</v>
      </c>
      <c r="BF50" s="80">
        <v>0.66666666666666663</v>
      </c>
      <c r="BG50" s="20">
        <v>21.47222</v>
      </c>
      <c r="BV50" s="150">
        <v>5</v>
      </c>
      <c r="BW50" s="130">
        <v>114</v>
      </c>
      <c r="BX50" s="157">
        <v>15.789473684210526</v>
      </c>
      <c r="BY50" s="130">
        <v>18</v>
      </c>
      <c r="BZ50" s="80"/>
      <c r="CL50" s="80">
        <v>3</v>
      </c>
      <c r="CM50" s="80">
        <v>118</v>
      </c>
      <c r="CP50" s="80">
        <v>3</v>
      </c>
      <c r="CQ50" s="80">
        <v>87.6</v>
      </c>
      <c r="CT50" s="80">
        <v>3</v>
      </c>
      <c r="CU50" s="80">
        <v>56.5</v>
      </c>
      <c r="CX50" s="159">
        <v>2</v>
      </c>
      <c r="CY50" s="159">
        <v>54.5</v>
      </c>
      <c r="DB50" s="80">
        <v>6</v>
      </c>
      <c r="DC50" s="80">
        <v>73.7</v>
      </c>
      <c r="DF50" s="80">
        <v>6</v>
      </c>
      <c r="DG50" s="80">
        <v>86.5</v>
      </c>
      <c r="DJ50" s="80">
        <v>9</v>
      </c>
      <c r="DK50" s="80">
        <v>57.3</v>
      </c>
      <c r="DN50" s="80">
        <v>6</v>
      </c>
      <c r="DO50" s="80">
        <v>219</v>
      </c>
      <c r="ED50" s="80">
        <v>4</v>
      </c>
      <c r="EE50">
        <v>186.5</v>
      </c>
      <c r="EH50" s="83">
        <v>2.5</v>
      </c>
      <c r="EI50" s="20">
        <v>677.5</v>
      </c>
      <c r="EJ50" s="196">
        <v>31.284201610518014</v>
      </c>
      <c r="EK50" s="196">
        <v>211.95046591125956</v>
      </c>
      <c r="EL50" s="83">
        <v>2.5</v>
      </c>
      <c r="EM50" s="196">
        <v>326.75</v>
      </c>
      <c r="EN50" s="196">
        <v>64.014444644067765</v>
      </c>
      <c r="EO50" s="196">
        <v>209.16719787449145</v>
      </c>
      <c r="GD50" s="156">
        <v>10</v>
      </c>
      <c r="GE50" s="20">
        <v>76.099999999999994</v>
      </c>
      <c r="GH50" s="156">
        <v>8</v>
      </c>
      <c r="GI50" s="20">
        <v>79.7</v>
      </c>
      <c r="GL50" s="156">
        <v>8</v>
      </c>
      <c r="GM50" s="20">
        <v>76.400000000000006</v>
      </c>
      <c r="GN50" s="156"/>
      <c r="GO50" s="20"/>
      <c r="GP50" s="156">
        <v>8</v>
      </c>
      <c r="GQ50" s="20">
        <v>83.6</v>
      </c>
      <c r="GT50" s="80">
        <v>8</v>
      </c>
      <c r="GU50" s="80">
        <v>50.8</v>
      </c>
      <c r="GX50" s="80">
        <v>8</v>
      </c>
      <c r="GY50" s="80">
        <v>54.8</v>
      </c>
      <c r="HB50" s="80">
        <v>8</v>
      </c>
      <c r="HC50" s="80">
        <v>53</v>
      </c>
      <c r="HF50" s="80">
        <v>8</v>
      </c>
      <c r="HG50" s="80">
        <v>60.5</v>
      </c>
      <c r="HR50">
        <v>6</v>
      </c>
      <c r="HS50" s="20">
        <v>63.908600000000007</v>
      </c>
      <c r="HV50">
        <v>6</v>
      </c>
      <c r="HW50" s="20">
        <v>35.296800000000005</v>
      </c>
      <c r="HZ50" s="80">
        <v>6</v>
      </c>
      <c r="IA50" s="20">
        <v>18.049500000000002</v>
      </c>
      <c r="ID50">
        <v>4</v>
      </c>
      <c r="IE50" s="20">
        <v>128.88680000000002</v>
      </c>
      <c r="IH50">
        <v>4</v>
      </c>
      <c r="II50" s="20">
        <v>104.55340000000001</v>
      </c>
      <c r="IL50">
        <v>4</v>
      </c>
      <c r="IM50" s="20">
        <v>163.9162</v>
      </c>
      <c r="IP50">
        <v>4</v>
      </c>
      <c r="IQ50" s="20">
        <v>186.91260000000003</v>
      </c>
      <c r="IT50">
        <v>6</v>
      </c>
      <c r="IU50" s="20">
        <v>14.840700000000002</v>
      </c>
      <c r="IX50">
        <v>6</v>
      </c>
      <c r="IY50" s="20">
        <v>13.370000000000001</v>
      </c>
      <c r="JB50" s="80">
        <v>2</v>
      </c>
      <c r="JC50" s="20">
        <v>121</v>
      </c>
      <c r="JD50" s="156">
        <v>23.801652892561982</v>
      </c>
      <c r="JE50" s="20">
        <v>28.799999999999997</v>
      </c>
      <c r="JF50" s="80">
        <v>4</v>
      </c>
      <c r="JG50" s="20">
        <v>25.6</v>
      </c>
      <c r="JH50" s="156">
        <v>121.09375</v>
      </c>
      <c r="JI50" s="20">
        <v>31</v>
      </c>
      <c r="JR50" s="80">
        <v>1.5</v>
      </c>
      <c r="JS50" s="80">
        <v>104</v>
      </c>
      <c r="JT50" s="156">
        <f t="shared" si="3"/>
        <v>37.5</v>
      </c>
      <c r="JU50" s="20">
        <v>39</v>
      </c>
      <c r="JV50" s="80">
        <v>1.5</v>
      </c>
      <c r="JW50" s="80">
        <v>180</v>
      </c>
      <c r="JX50" s="156">
        <v>37.777777777777779</v>
      </c>
      <c r="JY50" s="20">
        <v>68</v>
      </c>
    </row>
    <row r="51" spans="1:285" ht="15" x14ac:dyDescent="0.25">
      <c r="A51" s="23"/>
      <c r="B51" s="80">
        <v>4</v>
      </c>
      <c r="C51" s="20">
        <v>46.527600000000007</v>
      </c>
      <c r="D51" s="139"/>
      <c r="E51" s="139"/>
      <c r="F51" s="80">
        <v>4</v>
      </c>
      <c r="G51" s="20">
        <v>19.707380000000004</v>
      </c>
      <c r="H51" s="139"/>
      <c r="J51" s="80">
        <v>4</v>
      </c>
      <c r="K51" s="20">
        <v>29.948800000000002</v>
      </c>
      <c r="L51" s="139"/>
      <c r="M51" s="20"/>
      <c r="N51" s="46">
        <v>4</v>
      </c>
      <c r="O51" s="20">
        <v>64.176000000000002</v>
      </c>
      <c r="P51" s="139"/>
      <c r="Q51" s="139"/>
      <c r="R51" s="46"/>
      <c r="T51" s="46"/>
      <c r="U51" s="46"/>
      <c r="V51" s="45"/>
      <c r="W51" s="11"/>
      <c r="X51" s="11"/>
      <c r="Y51" s="11"/>
      <c r="Z51" s="21"/>
      <c r="AA51" s="21"/>
      <c r="AB51" s="21"/>
      <c r="AC51" s="21"/>
      <c r="AD51" s="10"/>
      <c r="AE51" s="10"/>
      <c r="AF51" s="10"/>
      <c r="AG51" s="10"/>
      <c r="AH51" s="10"/>
      <c r="AP51" s="80">
        <v>0.90100000000000002</v>
      </c>
      <c r="AQ51" s="80">
        <v>11.7</v>
      </c>
      <c r="AT51" s="80">
        <v>1.5</v>
      </c>
      <c r="AU51" s="80">
        <v>5.41</v>
      </c>
      <c r="AX51" s="80">
        <v>0.73599999999999999</v>
      </c>
      <c r="AY51" s="80">
        <v>36.700000000000003</v>
      </c>
      <c r="BB51" s="80">
        <v>1.25</v>
      </c>
      <c r="BC51" s="80">
        <v>99.9</v>
      </c>
      <c r="BF51" s="80">
        <v>0.91666666666666663</v>
      </c>
      <c r="BG51" s="20">
        <v>18.798220000000001</v>
      </c>
      <c r="BV51" s="150">
        <v>8</v>
      </c>
      <c r="BW51" s="130">
        <v>82.8</v>
      </c>
      <c r="BX51" s="157">
        <v>16.908212560386474</v>
      </c>
      <c r="BY51" s="130">
        <v>14</v>
      </c>
      <c r="BZ51" s="80"/>
      <c r="CL51" s="80">
        <v>4</v>
      </c>
      <c r="CM51" s="80">
        <v>108</v>
      </c>
      <c r="CP51" s="80">
        <v>4</v>
      </c>
      <c r="CQ51" s="80">
        <v>89.4</v>
      </c>
      <c r="CT51" s="80">
        <v>4</v>
      </c>
      <c r="CU51" s="80">
        <v>62.1</v>
      </c>
      <c r="CX51" s="159">
        <v>2.5</v>
      </c>
      <c r="CY51" s="159">
        <v>51.4</v>
      </c>
      <c r="DB51" s="80">
        <v>9</v>
      </c>
      <c r="DC51" s="80">
        <v>30.6</v>
      </c>
      <c r="DF51" s="80">
        <v>9</v>
      </c>
      <c r="DG51" s="80">
        <v>97.9</v>
      </c>
      <c r="DJ51" s="80">
        <v>12</v>
      </c>
      <c r="DK51" s="80">
        <v>31.4</v>
      </c>
      <c r="DN51" s="80">
        <v>9</v>
      </c>
      <c r="DO51" s="80">
        <v>226</v>
      </c>
      <c r="ED51" s="80">
        <v>4.5</v>
      </c>
      <c r="EE51">
        <v>212</v>
      </c>
      <c r="EH51" s="83">
        <v>3</v>
      </c>
      <c r="EI51" s="20">
        <v>522</v>
      </c>
      <c r="EJ51" s="196">
        <v>37.268620239549762</v>
      </c>
      <c r="EK51" s="196">
        <v>194.54219765044976</v>
      </c>
      <c r="EL51" s="83">
        <v>3</v>
      </c>
      <c r="EM51" s="196">
        <v>373.75</v>
      </c>
      <c r="EN51" s="196">
        <v>67.499162631565</v>
      </c>
      <c r="EO51" s="196">
        <v>252.2781203354742</v>
      </c>
      <c r="GD51" s="156">
        <v>12</v>
      </c>
      <c r="GE51" s="20">
        <v>66.900000000000006</v>
      </c>
      <c r="GH51" s="156">
        <v>10</v>
      </c>
      <c r="GI51" s="20">
        <v>71.2</v>
      </c>
      <c r="GL51" s="156">
        <v>10</v>
      </c>
      <c r="GM51" s="20">
        <v>73.599999999999994</v>
      </c>
      <c r="GN51" s="156"/>
      <c r="GO51" s="20"/>
      <c r="GP51" s="156">
        <v>10</v>
      </c>
      <c r="GQ51" s="20">
        <v>83.8</v>
      </c>
      <c r="GT51" s="80">
        <v>10</v>
      </c>
      <c r="GU51" s="80">
        <v>59.5</v>
      </c>
      <c r="GX51" s="80">
        <v>10</v>
      </c>
      <c r="GY51" s="80">
        <v>58.6</v>
      </c>
      <c r="HB51" s="80">
        <v>10</v>
      </c>
      <c r="HC51" s="80">
        <v>57.3</v>
      </c>
      <c r="HF51" s="80">
        <v>10</v>
      </c>
      <c r="HG51" s="80">
        <v>68.599999999999994</v>
      </c>
      <c r="HR51">
        <v>8</v>
      </c>
      <c r="HS51" s="20">
        <v>62.304200000000009</v>
      </c>
      <c r="HV51">
        <v>8</v>
      </c>
      <c r="HW51" s="20">
        <v>33.959800000000001</v>
      </c>
      <c r="HZ51" s="80">
        <v>8</v>
      </c>
      <c r="IA51" s="20">
        <v>15.99052</v>
      </c>
      <c r="ID51">
        <v>5</v>
      </c>
      <c r="IE51" s="20">
        <v>118.99300000000001</v>
      </c>
      <c r="IH51">
        <v>5</v>
      </c>
      <c r="II51" s="20">
        <v>151.61580000000001</v>
      </c>
      <c r="IL51">
        <v>5</v>
      </c>
      <c r="IM51" s="20">
        <v>154.0224</v>
      </c>
      <c r="IP51">
        <v>5</v>
      </c>
      <c r="IQ51" s="20">
        <v>147.87220000000002</v>
      </c>
      <c r="IT51">
        <v>8</v>
      </c>
      <c r="IU51" s="20">
        <v>16.41836</v>
      </c>
      <c r="IX51">
        <v>8</v>
      </c>
      <c r="IY51" s="20">
        <v>15.562680000000002</v>
      </c>
      <c r="JB51" s="80">
        <v>4</v>
      </c>
      <c r="JC51" s="20">
        <v>76.8</v>
      </c>
      <c r="JD51" s="156">
        <v>21.093749999999996</v>
      </c>
      <c r="JE51" s="20">
        <v>16.199999999999996</v>
      </c>
      <c r="JF51" s="80">
        <v>6</v>
      </c>
      <c r="JG51" s="20">
        <v>14.7</v>
      </c>
      <c r="JH51" s="156">
        <v>175.51020408163268</v>
      </c>
      <c r="JI51" s="20">
        <v>25.8</v>
      </c>
      <c r="JR51" s="80">
        <v>2</v>
      </c>
      <c r="JS51" s="80">
        <v>101</v>
      </c>
      <c r="JT51" s="156">
        <f t="shared" si="3"/>
        <v>47.524752475247524</v>
      </c>
      <c r="JU51" s="20">
        <v>48</v>
      </c>
      <c r="JV51" s="80">
        <v>2</v>
      </c>
      <c r="JW51" s="80">
        <v>201</v>
      </c>
      <c r="JX51" s="156">
        <v>26.865671641791046</v>
      </c>
      <c r="JY51" s="20">
        <v>54</v>
      </c>
    </row>
    <row r="52" spans="1:285" ht="15" x14ac:dyDescent="0.25">
      <c r="A52" s="23"/>
      <c r="B52" s="80">
        <v>5</v>
      </c>
      <c r="C52" s="20">
        <v>49.469000000000008</v>
      </c>
      <c r="D52" s="139"/>
      <c r="E52" s="139"/>
      <c r="F52" s="80">
        <v>5</v>
      </c>
      <c r="G52" s="20">
        <v>22.835960000000004</v>
      </c>
      <c r="H52" s="139"/>
      <c r="J52" s="80">
        <v>5</v>
      </c>
      <c r="K52" s="20">
        <v>24.868200000000002</v>
      </c>
      <c r="L52" s="139"/>
      <c r="M52" s="20"/>
      <c r="N52" s="46">
        <v>5</v>
      </c>
      <c r="O52" s="20">
        <v>54.282200000000003</v>
      </c>
      <c r="P52" s="139"/>
      <c r="Q52" s="139"/>
      <c r="R52" s="46"/>
      <c r="T52" s="46"/>
      <c r="U52" s="46"/>
      <c r="V52" s="45"/>
      <c r="W52" s="11"/>
      <c r="X52" s="11"/>
      <c r="Y52" s="11"/>
      <c r="Z52" s="21"/>
      <c r="AA52" s="21"/>
      <c r="AB52" s="21"/>
      <c r="AC52" s="21"/>
      <c r="AD52" s="10"/>
      <c r="AE52" s="10"/>
      <c r="AF52" s="10"/>
      <c r="AG52" s="10"/>
      <c r="AH52" s="10"/>
      <c r="AP52" s="80">
        <v>1</v>
      </c>
      <c r="AQ52" s="80">
        <v>10.7</v>
      </c>
      <c r="AT52" s="80">
        <v>1.75</v>
      </c>
      <c r="AU52" s="80">
        <v>4.8600000000000003</v>
      </c>
      <c r="AX52" s="80">
        <v>0.89700000000000002</v>
      </c>
      <c r="AY52" s="80">
        <v>45.6</v>
      </c>
      <c r="BB52" s="80">
        <v>1.5</v>
      </c>
      <c r="BC52" s="80">
        <v>103</v>
      </c>
      <c r="BF52" s="80">
        <v>2</v>
      </c>
      <c r="BG52" s="20">
        <v>13.423480000000001</v>
      </c>
      <c r="BV52" s="150">
        <v>12</v>
      </c>
      <c r="BW52" s="130">
        <v>41.5</v>
      </c>
      <c r="BX52" s="157">
        <v>34.698795180722911</v>
      </c>
      <c r="BY52" s="130">
        <v>14.400000000000006</v>
      </c>
      <c r="BZ52" s="80"/>
      <c r="CL52" s="80">
        <v>6</v>
      </c>
      <c r="CM52" s="80">
        <v>69.3</v>
      </c>
      <c r="CP52" s="80">
        <v>6</v>
      </c>
      <c r="CQ52" s="80">
        <v>76.599999999999994</v>
      </c>
      <c r="CT52" s="80">
        <v>6</v>
      </c>
      <c r="CU52" s="80">
        <v>64.599999999999994</v>
      </c>
      <c r="CX52" s="159">
        <v>3</v>
      </c>
      <c r="CY52" s="159">
        <v>48.9</v>
      </c>
      <c r="DB52" s="80">
        <v>12</v>
      </c>
      <c r="DC52" s="80">
        <v>13.6</v>
      </c>
      <c r="DF52" s="80">
        <v>12</v>
      </c>
      <c r="DG52" s="80">
        <v>114</v>
      </c>
      <c r="DJ52" s="80">
        <v>14</v>
      </c>
      <c r="DK52" s="80">
        <v>220</v>
      </c>
      <c r="DN52" s="80">
        <v>12</v>
      </c>
      <c r="DO52" s="80">
        <v>207</v>
      </c>
      <c r="ED52" s="80">
        <v>5.5</v>
      </c>
      <c r="EE52">
        <v>243.00000000000003</v>
      </c>
      <c r="EH52" s="83">
        <v>4</v>
      </c>
      <c r="EI52" s="20">
        <v>356</v>
      </c>
      <c r="EJ52" s="196">
        <v>51.389910131025133</v>
      </c>
      <c r="EK52" s="196">
        <v>182.94808006644945</v>
      </c>
      <c r="EL52" s="83">
        <v>4</v>
      </c>
      <c r="EM52" s="196">
        <v>405.5</v>
      </c>
      <c r="EN52" s="196">
        <v>47.952001252080301</v>
      </c>
      <c r="EO52" s="196">
        <v>194.44536507718561</v>
      </c>
      <c r="GD52" s="156">
        <v>15</v>
      </c>
      <c r="GE52" s="20">
        <v>45</v>
      </c>
      <c r="GH52" s="156">
        <v>12</v>
      </c>
      <c r="GI52" s="20">
        <v>74.099999999999994</v>
      </c>
      <c r="GL52" s="156">
        <v>12</v>
      </c>
      <c r="GM52" s="20">
        <v>63.5</v>
      </c>
      <c r="GN52" s="156"/>
      <c r="GO52" s="20"/>
      <c r="GP52" s="156">
        <v>12</v>
      </c>
      <c r="GQ52" s="20">
        <v>75.7</v>
      </c>
      <c r="GT52" s="80">
        <v>12</v>
      </c>
      <c r="GU52" s="80">
        <v>57</v>
      </c>
      <c r="GX52" s="80">
        <v>12</v>
      </c>
      <c r="GY52" s="80">
        <v>61.1</v>
      </c>
      <c r="HB52" s="80">
        <v>12</v>
      </c>
      <c r="HC52" s="80">
        <v>55.6</v>
      </c>
      <c r="HF52" s="80">
        <v>12</v>
      </c>
      <c r="HG52" s="80">
        <v>62.4</v>
      </c>
      <c r="HR52">
        <v>10</v>
      </c>
      <c r="HS52" s="20">
        <v>62.571600000000004</v>
      </c>
      <c r="HV52">
        <v>10</v>
      </c>
      <c r="HW52" s="20">
        <v>32.088000000000001</v>
      </c>
      <c r="HZ52" s="80">
        <v>10</v>
      </c>
      <c r="IA52" s="20">
        <v>16.552060000000001</v>
      </c>
      <c r="ID52">
        <v>6</v>
      </c>
      <c r="IE52" s="20">
        <v>112.84280000000001</v>
      </c>
      <c r="IH52">
        <v>6</v>
      </c>
      <c r="II52" s="20">
        <v>149.74400000000003</v>
      </c>
      <c r="IL52">
        <v>6</v>
      </c>
      <c r="IM52" s="20">
        <v>146.80260000000001</v>
      </c>
      <c r="IP52">
        <v>6</v>
      </c>
      <c r="IQ52" s="20">
        <v>133.96740000000003</v>
      </c>
      <c r="IT52">
        <v>10</v>
      </c>
      <c r="IU52" s="20">
        <v>17.541440000000001</v>
      </c>
      <c r="IX52">
        <v>10</v>
      </c>
      <c r="IY52" s="20">
        <v>14.546560000000001</v>
      </c>
      <c r="JB52" s="80">
        <v>6</v>
      </c>
      <c r="JC52" s="20">
        <v>60.8</v>
      </c>
      <c r="JD52" s="156">
        <v>24.999999999999996</v>
      </c>
      <c r="JE52" s="20">
        <v>15.199999999999996</v>
      </c>
      <c r="JF52" s="80">
        <v>8</v>
      </c>
      <c r="JG52" s="20">
        <v>11</v>
      </c>
      <c r="JH52" s="156">
        <v>163.63636363636365</v>
      </c>
      <c r="JI52" s="20">
        <v>18</v>
      </c>
      <c r="JR52" s="80">
        <v>3</v>
      </c>
      <c r="JS52" s="80">
        <v>92.9</v>
      </c>
      <c r="JT52" s="156">
        <f t="shared" si="3"/>
        <v>52.852529601722274</v>
      </c>
      <c r="JU52" s="20">
        <v>49.099999999999994</v>
      </c>
      <c r="JV52" s="80">
        <v>3</v>
      </c>
      <c r="JW52" s="80">
        <v>182</v>
      </c>
      <c r="JX52" s="156">
        <v>19.230769230769234</v>
      </c>
      <c r="JY52" s="20">
        <v>35</v>
      </c>
    </row>
    <row r="53" spans="1:285" ht="15" x14ac:dyDescent="0.25">
      <c r="A53" s="23"/>
      <c r="B53" s="80">
        <v>6</v>
      </c>
      <c r="C53" s="20">
        <v>49.469000000000008</v>
      </c>
      <c r="D53" s="139"/>
      <c r="E53" s="139"/>
      <c r="F53" s="80">
        <v>6</v>
      </c>
      <c r="G53" s="20">
        <v>25.804100000000002</v>
      </c>
      <c r="H53" s="139"/>
      <c r="J53" s="80">
        <v>6</v>
      </c>
      <c r="K53" s="20">
        <v>31.018400000000003</v>
      </c>
      <c r="L53" s="139"/>
      <c r="M53" s="20"/>
      <c r="N53" s="46">
        <v>6</v>
      </c>
      <c r="O53" s="20">
        <v>53.212600000000002</v>
      </c>
      <c r="P53" s="139"/>
      <c r="Q53" s="139"/>
      <c r="R53" s="46"/>
      <c r="T53" s="46"/>
      <c r="U53" s="46"/>
      <c r="V53" s="45"/>
      <c r="W53" s="11"/>
      <c r="X53" s="11"/>
      <c r="Y53" s="11"/>
      <c r="Z53" s="21"/>
      <c r="AA53" s="21"/>
      <c r="AB53" s="21"/>
      <c r="AC53" s="21"/>
      <c r="AD53" s="10"/>
      <c r="AE53" s="10"/>
      <c r="AF53" s="10"/>
      <c r="AG53" s="10"/>
      <c r="AH53" s="10"/>
      <c r="AP53" s="80">
        <v>1.5</v>
      </c>
      <c r="AQ53" s="80">
        <v>10.3</v>
      </c>
      <c r="AT53" s="80">
        <v>2</v>
      </c>
      <c r="AU53" s="80">
        <v>4.57</v>
      </c>
      <c r="AX53" s="80">
        <v>1</v>
      </c>
      <c r="AY53" s="80">
        <v>51.1</v>
      </c>
      <c r="BB53" s="80">
        <v>1.75</v>
      </c>
      <c r="BC53" s="80">
        <v>98.7</v>
      </c>
      <c r="BF53" s="80">
        <v>3</v>
      </c>
      <c r="BG53" s="20">
        <v>11.17732</v>
      </c>
      <c r="BV53" s="150">
        <v>18</v>
      </c>
      <c r="BW53" s="130">
        <v>13.6</v>
      </c>
      <c r="BX53" s="157">
        <v>36.76470588235297</v>
      </c>
      <c r="BY53" s="130">
        <v>5.0000000000000036</v>
      </c>
      <c r="BZ53" s="80"/>
      <c r="CL53" s="80">
        <v>8</v>
      </c>
      <c r="CM53" s="80">
        <v>46</v>
      </c>
      <c r="CP53" s="80">
        <v>8</v>
      </c>
      <c r="CQ53" s="80">
        <v>57</v>
      </c>
      <c r="CT53" s="80">
        <v>8</v>
      </c>
      <c r="CU53" s="80">
        <v>54.9</v>
      </c>
      <c r="CX53" s="159">
        <v>4</v>
      </c>
      <c r="CY53" s="159">
        <v>38.799999999999997</v>
      </c>
      <c r="DB53" s="80">
        <v>14</v>
      </c>
      <c r="DC53" s="80">
        <v>132</v>
      </c>
      <c r="DF53" s="80">
        <v>14</v>
      </c>
      <c r="DG53" s="80">
        <v>109</v>
      </c>
      <c r="DJ53" s="80">
        <v>20</v>
      </c>
      <c r="DK53" s="80">
        <v>95.5</v>
      </c>
      <c r="DN53" s="80">
        <v>14</v>
      </c>
      <c r="DO53" s="80">
        <v>206</v>
      </c>
      <c r="ED53" s="80">
        <v>6.5</v>
      </c>
      <c r="EE53">
        <v>193</v>
      </c>
      <c r="EH53" s="83">
        <v>5</v>
      </c>
      <c r="EI53" s="20">
        <v>255.75</v>
      </c>
      <c r="EJ53" s="196">
        <v>50.921417243941576</v>
      </c>
      <c r="EK53" s="196">
        <v>130.23152460138058</v>
      </c>
      <c r="EL53" s="83">
        <v>5</v>
      </c>
      <c r="EM53" s="196">
        <v>340</v>
      </c>
      <c r="EN53" s="196">
        <v>30.50043961337273</v>
      </c>
      <c r="EO53" s="196">
        <v>103.70149468546728</v>
      </c>
      <c r="GD53" s="156">
        <v>18</v>
      </c>
      <c r="GE53" s="20">
        <v>31.8</v>
      </c>
      <c r="GH53" s="156">
        <v>15</v>
      </c>
      <c r="GI53" s="20">
        <v>50.9</v>
      </c>
      <c r="GL53" s="156">
        <v>15</v>
      </c>
      <c r="GM53" s="20">
        <v>45</v>
      </c>
      <c r="GN53" s="156"/>
      <c r="GO53" s="20"/>
      <c r="GP53" s="156">
        <v>15</v>
      </c>
      <c r="GQ53" s="20">
        <v>46.4</v>
      </c>
      <c r="GT53" s="80">
        <v>15</v>
      </c>
      <c r="GU53" s="80">
        <v>48.7</v>
      </c>
      <c r="GX53" s="80">
        <v>15</v>
      </c>
      <c r="GY53" s="80">
        <v>50.7</v>
      </c>
      <c r="HB53" s="80">
        <v>15</v>
      </c>
      <c r="HC53" s="80">
        <v>46.7</v>
      </c>
      <c r="HF53" s="80">
        <v>15</v>
      </c>
      <c r="HG53" s="80">
        <v>53.5</v>
      </c>
      <c r="HR53">
        <v>12</v>
      </c>
      <c r="HS53" s="20">
        <v>62.036800000000007</v>
      </c>
      <c r="HV53">
        <v>12</v>
      </c>
      <c r="HW53" s="20">
        <v>32.622800000000005</v>
      </c>
      <c r="HZ53" s="80">
        <v>12</v>
      </c>
      <c r="IA53" s="20">
        <v>16.124220000000001</v>
      </c>
      <c r="ID53">
        <v>8</v>
      </c>
      <c r="IE53" s="20">
        <v>95.461800000000011</v>
      </c>
      <c r="IH53">
        <v>8</v>
      </c>
      <c r="II53" s="20">
        <v>137.4436</v>
      </c>
      <c r="IL53">
        <v>8</v>
      </c>
      <c r="IM53" s="20">
        <v>133.16520000000003</v>
      </c>
      <c r="IP53">
        <v>8</v>
      </c>
      <c r="IQ53" s="20">
        <v>95.461800000000011</v>
      </c>
      <c r="IT53">
        <v>12</v>
      </c>
      <c r="IU53" s="20">
        <v>19.627160000000003</v>
      </c>
      <c r="IX53">
        <v>12</v>
      </c>
      <c r="IY53" s="20">
        <v>16.578800000000001</v>
      </c>
      <c r="JB53" s="80">
        <v>8</v>
      </c>
      <c r="JC53" s="20">
        <v>49.8</v>
      </c>
      <c r="JD53" s="156">
        <v>29.919678714859437</v>
      </c>
      <c r="JE53" s="20">
        <v>14.899999999999999</v>
      </c>
      <c r="JF53" s="80">
        <v>10</v>
      </c>
      <c r="JG53" s="20">
        <v>7.13</v>
      </c>
      <c r="JH53" s="156">
        <v>162.27208976157084</v>
      </c>
      <c r="JI53" s="20">
        <v>11.57</v>
      </c>
      <c r="JR53" s="80">
        <v>4</v>
      </c>
      <c r="JS53" s="80">
        <v>81.400000000000006</v>
      </c>
      <c r="JT53" s="156">
        <f t="shared" si="3"/>
        <v>59.705159705159694</v>
      </c>
      <c r="JU53" s="20">
        <v>48.599999999999994</v>
      </c>
      <c r="JV53" s="80">
        <v>4</v>
      </c>
      <c r="JW53" s="80">
        <v>151</v>
      </c>
      <c r="JX53" s="156">
        <v>28.476821192052981</v>
      </c>
      <c r="JY53" s="20">
        <v>43</v>
      </c>
    </row>
    <row r="54" spans="1:285" ht="15" x14ac:dyDescent="0.25">
      <c r="A54" s="23"/>
      <c r="B54" s="80">
        <v>7</v>
      </c>
      <c r="C54" s="20">
        <v>48.399400000000007</v>
      </c>
      <c r="D54" s="139"/>
      <c r="E54" s="139"/>
      <c r="F54" s="80">
        <v>7</v>
      </c>
      <c r="G54" s="20">
        <v>27.274800000000003</v>
      </c>
      <c r="H54" s="139"/>
      <c r="J54" s="80">
        <v>7</v>
      </c>
      <c r="K54" s="20">
        <v>36.901200000000003</v>
      </c>
      <c r="L54" s="139"/>
      <c r="M54" s="20"/>
      <c r="N54" s="46">
        <v>7</v>
      </c>
      <c r="O54" s="20">
        <v>40.110000000000007</v>
      </c>
      <c r="P54" s="139"/>
      <c r="Q54" s="139"/>
      <c r="R54" s="46"/>
      <c r="T54" s="46"/>
      <c r="U54" s="46"/>
      <c r="V54" s="45"/>
      <c r="W54" s="11"/>
      <c r="X54" s="11"/>
      <c r="Y54" s="11"/>
      <c r="Z54" s="21"/>
      <c r="AA54" s="21"/>
      <c r="AB54" s="21"/>
      <c r="AC54" s="21"/>
      <c r="AD54" s="10"/>
      <c r="AE54" s="10"/>
      <c r="AF54" s="10"/>
      <c r="AG54" s="10"/>
      <c r="AH54" s="10"/>
      <c r="AP54" s="80">
        <v>1.75</v>
      </c>
      <c r="AQ54" s="80">
        <v>9.2799999999999994</v>
      </c>
      <c r="AT54" s="80">
        <v>2.5</v>
      </c>
      <c r="AU54" s="80">
        <v>4.17</v>
      </c>
      <c r="AX54" s="80">
        <v>1.5</v>
      </c>
      <c r="AY54" s="80">
        <v>52.1</v>
      </c>
      <c r="BB54" s="80">
        <v>2</v>
      </c>
      <c r="BC54" s="80">
        <v>94.3</v>
      </c>
      <c r="BF54" s="80">
        <v>5</v>
      </c>
      <c r="BG54" s="20">
        <v>7.19306</v>
      </c>
      <c r="CL54" s="80">
        <v>10</v>
      </c>
      <c r="CM54" s="80">
        <v>28.3</v>
      </c>
      <c r="CP54" s="80">
        <v>10</v>
      </c>
      <c r="CQ54" s="80">
        <v>37.5</v>
      </c>
      <c r="CT54" s="80">
        <v>10</v>
      </c>
      <c r="CU54" s="80">
        <v>38.200000000000003</v>
      </c>
      <c r="CX54" s="159">
        <v>6</v>
      </c>
      <c r="CY54" s="159">
        <v>23.3</v>
      </c>
      <c r="DB54" s="80">
        <v>20</v>
      </c>
      <c r="DC54" s="80">
        <v>66.599999999999994</v>
      </c>
      <c r="DF54" s="80">
        <v>20</v>
      </c>
      <c r="DG54" s="80">
        <v>79.099999999999994</v>
      </c>
      <c r="DJ54" s="80">
        <v>24</v>
      </c>
      <c r="DK54" s="80">
        <v>37.9</v>
      </c>
      <c r="DN54" s="80">
        <v>20</v>
      </c>
      <c r="DO54" s="80">
        <v>163</v>
      </c>
      <c r="ED54" s="80">
        <v>7.5</v>
      </c>
      <c r="EE54">
        <v>134</v>
      </c>
      <c r="EH54" s="83">
        <v>6</v>
      </c>
      <c r="EI54" s="20">
        <v>162.9</v>
      </c>
      <c r="EJ54" s="196">
        <v>61.213032620579064</v>
      </c>
      <c r="EK54" s="196">
        <v>99.716030138923301</v>
      </c>
      <c r="EL54" s="83">
        <v>6</v>
      </c>
      <c r="EM54" s="196">
        <v>252.25</v>
      </c>
      <c r="EN54" s="196">
        <v>48.258859385434363</v>
      </c>
      <c r="EO54" s="196">
        <v>121.73297279975819</v>
      </c>
      <c r="GD54" s="156">
        <v>21</v>
      </c>
      <c r="GE54" s="20">
        <v>23.4</v>
      </c>
      <c r="GH54" s="156">
        <v>18</v>
      </c>
      <c r="GI54" s="20">
        <v>34.9</v>
      </c>
      <c r="GL54" s="156">
        <v>18</v>
      </c>
      <c r="GM54" s="20">
        <v>30.9</v>
      </c>
      <c r="GN54" s="156"/>
      <c r="GO54" s="20"/>
      <c r="GP54" s="156">
        <v>18</v>
      </c>
      <c r="GQ54" s="20">
        <v>27.7</v>
      </c>
      <c r="GT54" s="80">
        <v>18</v>
      </c>
      <c r="GU54" s="80">
        <v>37.5</v>
      </c>
      <c r="GX54" s="80">
        <v>18</v>
      </c>
      <c r="GY54" s="80">
        <v>44.8</v>
      </c>
      <c r="HB54" s="80">
        <v>18</v>
      </c>
      <c r="HC54" s="80">
        <v>36.1</v>
      </c>
      <c r="HF54" s="80">
        <v>18</v>
      </c>
      <c r="HG54" s="80">
        <v>39.299999999999997</v>
      </c>
      <c r="HR54">
        <v>14</v>
      </c>
      <c r="HS54" s="20">
        <v>64.978200000000001</v>
      </c>
      <c r="HV54">
        <v>14</v>
      </c>
      <c r="HW54" s="20">
        <v>30.483600000000003</v>
      </c>
      <c r="HZ54" s="80">
        <v>14</v>
      </c>
      <c r="IA54" s="20">
        <v>16.257920000000002</v>
      </c>
      <c r="ID54">
        <v>10</v>
      </c>
      <c r="IE54" s="20">
        <v>84.231000000000009</v>
      </c>
      <c r="IH54">
        <v>10</v>
      </c>
      <c r="II54" s="20">
        <v>116.58640000000001</v>
      </c>
      <c r="IL54">
        <v>10</v>
      </c>
      <c r="IM54" s="20">
        <v>108.56440000000001</v>
      </c>
      <c r="IP54">
        <v>10</v>
      </c>
      <c r="IQ54" s="20">
        <v>68.721800000000002</v>
      </c>
      <c r="IT54">
        <v>14</v>
      </c>
      <c r="IU54" s="20">
        <v>20.857200000000002</v>
      </c>
      <c r="IX54">
        <v>14</v>
      </c>
      <c r="IY54" s="20">
        <v>17.487960000000005</v>
      </c>
      <c r="JB54" s="80">
        <v>10</v>
      </c>
      <c r="JC54" s="20">
        <v>38.1</v>
      </c>
      <c r="JD54" s="156">
        <v>33.333333333333343</v>
      </c>
      <c r="JE54" s="20">
        <v>12.700000000000003</v>
      </c>
      <c r="JF54" s="80">
        <v>12</v>
      </c>
      <c r="JG54" s="20">
        <v>6.36</v>
      </c>
      <c r="JH54" s="156">
        <v>132.70440251572327</v>
      </c>
      <c r="JI54" s="20">
        <v>8.4400000000000013</v>
      </c>
      <c r="JR54" s="80">
        <v>5</v>
      </c>
      <c r="JS54" s="80">
        <v>69.900000000000006</v>
      </c>
      <c r="JT54" s="156">
        <f t="shared" si="3"/>
        <v>60.228898426323312</v>
      </c>
      <c r="JU54" s="20">
        <v>42.099999999999994</v>
      </c>
      <c r="JV54" s="80">
        <v>5</v>
      </c>
      <c r="JW54" s="80">
        <v>129</v>
      </c>
      <c r="JX54" s="156">
        <v>31.007751937984498</v>
      </c>
      <c r="JY54" s="20">
        <v>40</v>
      </c>
    </row>
    <row r="55" spans="1:285" ht="15" x14ac:dyDescent="0.25">
      <c r="A55" s="23"/>
      <c r="B55" s="80">
        <v>8</v>
      </c>
      <c r="C55" s="20">
        <v>39.842600000000004</v>
      </c>
      <c r="D55" s="139"/>
      <c r="E55" s="139"/>
      <c r="F55" s="80">
        <v>8</v>
      </c>
      <c r="G55" s="20">
        <v>28.611800000000002</v>
      </c>
      <c r="H55" s="139"/>
      <c r="J55" s="80">
        <v>8</v>
      </c>
      <c r="K55" s="20">
        <v>29.414000000000001</v>
      </c>
      <c r="L55" s="139"/>
      <c r="M55" s="20"/>
      <c r="N55" s="46">
        <v>8</v>
      </c>
      <c r="O55" s="20">
        <v>33.692400000000006</v>
      </c>
      <c r="P55" s="139"/>
      <c r="Q55" s="139"/>
      <c r="R55" s="46"/>
      <c r="T55" s="46"/>
      <c r="U55" s="46"/>
      <c r="V55" s="29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P55" s="80">
        <v>2.08</v>
      </c>
      <c r="AQ55" s="80">
        <v>8.81</v>
      </c>
      <c r="AT55" s="80">
        <v>3</v>
      </c>
      <c r="AU55" s="80">
        <v>3.62</v>
      </c>
      <c r="AX55" s="80">
        <v>1.75</v>
      </c>
      <c r="AY55" s="80">
        <v>54.7</v>
      </c>
      <c r="BB55" s="80">
        <v>2.5</v>
      </c>
      <c r="BC55" s="80">
        <v>88.4</v>
      </c>
      <c r="BF55" s="80">
        <v>8</v>
      </c>
      <c r="BG55" s="20">
        <v>4.5992800000000003</v>
      </c>
      <c r="CL55" s="80">
        <v>12</v>
      </c>
      <c r="CM55" s="80">
        <v>18.5</v>
      </c>
      <c r="CP55" s="80">
        <v>12</v>
      </c>
      <c r="CQ55" s="80">
        <v>24.1</v>
      </c>
      <c r="CT55" s="80">
        <v>12</v>
      </c>
      <c r="CU55" s="80">
        <v>28.3</v>
      </c>
      <c r="CX55" s="159">
        <v>8</v>
      </c>
      <c r="CY55" s="159">
        <v>15.5</v>
      </c>
      <c r="DB55" s="80">
        <v>24</v>
      </c>
      <c r="DC55" s="80">
        <v>28.9</v>
      </c>
      <c r="DF55" s="80">
        <v>24</v>
      </c>
      <c r="DG55" s="80">
        <v>68.099999999999994</v>
      </c>
      <c r="DN55" s="80">
        <v>24</v>
      </c>
      <c r="DO55" s="80">
        <v>131</v>
      </c>
      <c r="ED55" s="80">
        <v>9.5</v>
      </c>
      <c r="EE55">
        <v>52.5</v>
      </c>
      <c r="EH55" s="83">
        <v>7</v>
      </c>
      <c r="EI55" s="20">
        <v>95.050000000000011</v>
      </c>
      <c r="EJ55" s="196">
        <v>42.627506367827081</v>
      </c>
      <c r="EK55" s="196">
        <v>40.51744480261965</v>
      </c>
      <c r="EL55" s="83">
        <v>7</v>
      </c>
      <c r="EM55" s="196">
        <v>162</v>
      </c>
      <c r="EN55" s="196">
        <v>53.681230811918773</v>
      </c>
      <c r="EO55" s="196">
        <v>86.963593915308422</v>
      </c>
      <c r="GD55" s="156">
        <v>24</v>
      </c>
      <c r="GE55" s="20">
        <v>17.600000000000001</v>
      </c>
      <c r="GH55" s="156">
        <v>21</v>
      </c>
      <c r="GI55" s="20">
        <v>18.899999999999999</v>
      </c>
      <c r="GL55" s="156">
        <v>21</v>
      </c>
      <c r="GM55" s="20">
        <v>19.600000000000001</v>
      </c>
      <c r="GN55" s="156"/>
      <c r="GO55" s="20"/>
      <c r="GP55" s="156">
        <v>21</v>
      </c>
      <c r="GQ55" s="20">
        <v>14.9</v>
      </c>
      <c r="GT55" s="80">
        <v>21</v>
      </c>
      <c r="GU55" s="80">
        <v>31</v>
      </c>
      <c r="GX55" s="80">
        <v>21</v>
      </c>
      <c r="GY55" s="80">
        <v>33.5</v>
      </c>
      <c r="HB55" s="80">
        <v>21</v>
      </c>
      <c r="HC55" s="80">
        <v>28.6</v>
      </c>
      <c r="HF55" s="80">
        <v>21</v>
      </c>
      <c r="HG55" s="80">
        <v>29.7</v>
      </c>
      <c r="HR55">
        <v>24</v>
      </c>
      <c r="HS55" s="20">
        <v>41.981800000000007</v>
      </c>
      <c r="HV55">
        <v>24</v>
      </c>
      <c r="HW55" s="20">
        <v>17.354260000000004</v>
      </c>
      <c r="HZ55" s="80">
        <v>24</v>
      </c>
      <c r="IA55" s="20">
        <v>8.3963599999999996</v>
      </c>
      <c r="ID55">
        <v>12</v>
      </c>
      <c r="IE55" s="20">
        <v>68.989200000000011</v>
      </c>
      <c r="IH55">
        <v>12</v>
      </c>
      <c r="II55" s="20">
        <v>89.044200000000004</v>
      </c>
      <c r="IL55">
        <v>12</v>
      </c>
      <c r="IM55" s="20">
        <v>84.765800000000013</v>
      </c>
      <c r="IP55">
        <v>12</v>
      </c>
      <c r="IQ55" s="20">
        <v>50.271200000000007</v>
      </c>
      <c r="IT55">
        <v>24</v>
      </c>
      <c r="IU55" s="20">
        <v>11.712120000000001</v>
      </c>
      <c r="IX55">
        <v>24</v>
      </c>
      <c r="IY55" s="20">
        <v>14.091980000000001</v>
      </c>
      <c r="JB55" s="80">
        <v>12</v>
      </c>
      <c r="JC55" s="20">
        <v>28.2</v>
      </c>
      <c r="JD55" s="156">
        <v>36.524822695035468</v>
      </c>
      <c r="JE55" s="20">
        <v>10.3</v>
      </c>
      <c r="JR55" s="80">
        <v>6</v>
      </c>
      <c r="JS55" s="80">
        <v>64</v>
      </c>
      <c r="JT55" s="156">
        <f t="shared" si="3"/>
        <v>64.0625</v>
      </c>
      <c r="JU55" s="20">
        <v>41</v>
      </c>
      <c r="JV55" s="80">
        <v>6</v>
      </c>
      <c r="JW55" s="80">
        <v>98.8</v>
      </c>
      <c r="JX55" s="156">
        <v>27.530364372469638</v>
      </c>
      <c r="JY55" s="20">
        <v>27.200000000000003</v>
      </c>
    </row>
    <row r="56" spans="1:285" ht="15" x14ac:dyDescent="0.25">
      <c r="A56" s="23"/>
      <c r="B56" s="80">
        <v>10</v>
      </c>
      <c r="C56" s="20">
        <v>29.681400000000004</v>
      </c>
      <c r="D56" s="139"/>
      <c r="E56" s="139"/>
      <c r="F56" s="80">
        <v>10</v>
      </c>
      <c r="G56" s="20">
        <v>31.285800000000002</v>
      </c>
      <c r="H56" s="139"/>
      <c r="J56" s="80">
        <v>10</v>
      </c>
      <c r="K56" s="20">
        <v>22.301160000000003</v>
      </c>
      <c r="L56" s="139"/>
      <c r="M56" s="20"/>
      <c r="N56" s="46">
        <v>10</v>
      </c>
      <c r="O56" s="20">
        <v>24.146220000000003</v>
      </c>
      <c r="P56" s="139"/>
      <c r="Q56" s="139"/>
      <c r="R56" s="46"/>
      <c r="T56" s="46"/>
      <c r="U56" s="46"/>
      <c r="V56" s="29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P56" s="80">
        <v>3</v>
      </c>
      <c r="AQ56" s="80">
        <v>7.21</v>
      </c>
      <c r="AT56" s="80">
        <v>4</v>
      </c>
      <c r="AU56" s="80">
        <v>2.91</v>
      </c>
      <c r="AX56" s="80">
        <v>2</v>
      </c>
      <c r="AY56" s="80">
        <v>57.3</v>
      </c>
      <c r="BB56" s="80">
        <v>3</v>
      </c>
      <c r="BC56" s="80">
        <v>74</v>
      </c>
      <c r="CL56" s="80">
        <v>14</v>
      </c>
      <c r="CM56" s="80">
        <v>12.4</v>
      </c>
      <c r="CP56" s="80">
        <v>14</v>
      </c>
      <c r="CQ56" s="80">
        <v>15.8</v>
      </c>
      <c r="CT56" s="80">
        <v>14</v>
      </c>
      <c r="CU56" s="80">
        <v>19.8</v>
      </c>
      <c r="CX56" s="159">
        <v>12</v>
      </c>
      <c r="CY56" s="159">
        <v>5.57</v>
      </c>
      <c r="ED56" s="80">
        <v>11.5</v>
      </c>
      <c r="EE56">
        <v>19.900000000000002</v>
      </c>
      <c r="EH56" s="83">
        <v>8</v>
      </c>
      <c r="EI56" s="20">
        <v>44.774999999999999</v>
      </c>
      <c r="EJ56" s="196">
        <v>75.252594483624861</v>
      </c>
      <c r="EK56" s="196">
        <v>33.694349180043034</v>
      </c>
      <c r="EL56" s="83">
        <v>8</v>
      </c>
      <c r="EM56" s="196">
        <v>113.7</v>
      </c>
      <c r="EN56" s="196">
        <v>71.187496635832829</v>
      </c>
      <c r="EO56" s="196">
        <v>80.940183674941935</v>
      </c>
      <c r="GD56" s="156">
        <v>28</v>
      </c>
      <c r="GE56" s="20">
        <v>9.01</v>
      </c>
      <c r="GH56" s="156">
        <v>24</v>
      </c>
      <c r="GI56" s="20">
        <v>12.6</v>
      </c>
      <c r="GL56" s="156">
        <v>24</v>
      </c>
      <c r="GM56" s="20">
        <v>13.1</v>
      </c>
      <c r="GN56" s="156"/>
      <c r="GO56" s="20"/>
      <c r="GP56" s="156">
        <v>24</v>
      </c>
      <c r="GQ56" s="20">
        <v>8.7799999999999994</v>
      </c>
      <c r="GT56" s="80">
        <v>24</v>
      </c>
      <c r="GU56" s="80">
        <v>26.6</v>
      </c>
      <c r="GX56" s="80">
        <v>24</v>
      </c>
      <c r="GY56" s="80">
        <v>24.1</v>
      </c>
      <c r="HB56" s="80">
        <v>24</v>
      </c>
      <c r="HC56" s="80">
        <v>21</v>
      </c>
      <c r="HF56" s="80">
        <v>24</v>
      </c>
      <c r="HG56" s="80">
        <v>20.5</v>
      </c>
      <c r="ID56">
        <v>24</v>
      </c>
      <c r="IE56" s="20">
        <v>27.809600000000003</v>
      </c>
      <c r="IH56">
        <v>24</v>
      </c>
      <c r="II56" s="20">
        <v>25.055380000000003</v>
      </c>
      <c r="IL56">
        <v>24</v>
      </c>
      <c r="IM56" s="20">
        <v>22.167460000000005</v>
      </c>
      <c r="IP56">
        <v>24</v>
      </c>
      <c r="IQ56" s="20">
        <v>15.482460000000001</v>
      </c>
      <c r="JB56" s="80">
        <v>24</v>
      </c>
      <c r="JC56" s="20">
        <v>6.28</v>
      </c>
      <c r="JD56" s="156">
        <v>35.668789808917197</v>
      </c>
      <c r="JE56" s="20">
        <v>2.2400000000000002</v>
      </c>
      <c r="JR56" s="80">
        <v>8</v>
      </c>
      <c r="JS56" s="80">
        <v>47.7</v>
      </c>
      <c r="JT56" s="156">
        <f t="shared" si="3"/>
        <v>67.714884696016753</v>
      </c>
      <c r="JU56" s="20">
        <v>32.299999999999997</v>
      </c>
      <c r="JV56" s="80">
        <v>8</v>
      </c>
      <c r="JW56" s="80">
        <v>64.3</v>
      </c>
      <c r="JX56" s="156">
        <v>31.104199066874028</v>
      </c>
      <c r="JY56" s="20">
        <v>20</v>
      </c>
    </row>
    <row r="57" spans="1:285" ht="15" x14ac:dyDescent="0.25">
      <c r="A57" s="23"/>
      <c r="B57" s="80">
        <v>12</v>
      </c>
      <c r="C57" s="20">
        <v>23.771860000000004</v>
      </c>
      <c r="D57" s="139"/>
      <c r="E57" s="139"/>
      <c r="F57" s="80">
        <v>12</v>
      </c>
      <c r="G57" s="20">
        <v>32.622800000000005</v>
      </c>
      <c r="H57" s="139"/>
      <c r="J57" s="80">
        <v>12</v>
      </c>
      <c r="K57" s="20">
        <v>19.333020000000001</v>
      </c>
      <c r="L57" s="139"/>
      <c r="M57" s="20"/>
      <c r="N57" s="46">
        <v>12</v>
      </c>
      <c r="O57" s="20">
        <v>16.765980000000003</v>
      </c>
      <c r="P57" s="139"/>
      <c r="Q57" s="139"/>
      <c r="R57" s="46"/>
      <c r="T57" s="46"/>
      <c r="U57" s="46"/>
      <c r="V57" s="29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P57" s="80">
        <v>4</v>
      </c>
      <c r="AQ57" s="80">
        <v>5.59</v>
      </c>
      <c r="AT57" s="80">
        <v>5</v>
      </c>
      <c r="AU57" s="80">
        <v>2.04</v>
      </c>
      <c r="AX57" s="80">
        <v>3</v>
      </c>
      <c r="AY57" s="80">
        <v>55.6</v>
      </c>
      <c r="BB57" s="80">
        <v>4</v>
      </c>
      <c r="BC57" s="80">
        <v>52.3</v>
      </c>
      <c r="CL57" s="80">
        <v>16</v>
      </c>
      <c r="CM57" s="80">
        <v>8.57</v>
      </c>
      <c r="CP57" s="80">
        <v>16</v>
      </c>
      <c r="CQ57" s="80">
        <v>10.6</v>
      </c>
      <c r="CT57" s="80">
        <v>16</v>
      </c>
      <c r="CU57" s="80">
        <v>13.8</v>
      </c>
      <c r="CX57" s="159">
        <v>18</v>
      </c>
      <c r="CY57" s="159">
        <v>1.78</v>
      </c>
      <c r="EH57" s="83">
        <v>9</v>
      </c>
      <c r="EI57" s="20">
        <v>29.625</v>
      </c>
      <c r="EJ57" s="196">
        <v>80.966876421623951</v>
      </c>
      <c r="EK57" s="196">
        <v>23.986437139906094</v>
      </c>
      <c r="EL57" s="83">
        <v>9</v>
      </c>
      <c r="EM57" s="196">
        <v>77.225000000000009</v>
      </c>
      <c r="EN57" s="196">
        <v>56.267838677873542</v>
      </c>
      <c r="EO57" s="196">
        <v>43.452838418987845</v>
      </c>
      <c r="GD57" s="156">
        <v>32</v>
      </c>
      <c r="GE57" s="20">
        <v>6.31</v>
      </c>
      <c r="GH57" s="156">
        <v>28</v>
      </c>
      <c r="GI57" s="20">
        <v>4.95</v>
      </c>
      <c r="GL57" s="156">
        <v>28</v>
      </c>
      <c r="GM57" s="20">
        <v>2.7</v>
      </c>
      <c r="GN57" s="156"/>
      <c r="GO57" s="20"/>
      <c r="GP57" s="156">
        <v>28</v>
      </c>
      <c r="GQ57" s="20">
        <v>2.7</v>
      </c>
      <c r="GT57" s="80">
        <v>28</v>
      </c>
      <c r="GU57" s="80">
        <v>20.6</v>
      </c>
      <c r="GX57" s="80">
        <v>28</v>
      </c>
      <c r="GY57" s="80">
        <v>15.9</v>
      </c>
      <c r="HB57" s="80">
        <v>28</v>
      </c>
      <c r="HC57" s="80">
        <v>11.1</v>
      </c>
      <c r="HF57" s="80">
        <v>28</v>
      </c>
      <c r="HG57" s="80">
        <v>12.9</v>
      </c>
      <c r="ID57">
        <v>25</v>
      </c>
      <c r="IE57" s="20">
        <v>23.210320000000003</v>
      </c>
      <c r="IH57">
        <v>25</v>
      </c>
      <c r="II57" s="20">
        <v>20.349140000000002</v>
      </c>
      <c r="IL57">
        <v>25</v>
      </c>
      <c r="IM57" s="20">
        <v>18.450600000000001</v>
      </c>
      <c r="IP57">
        <v>25</v>
      </c>
      <c r="IQ57" s="20">
        <v>13.664140000000002</v>
      </c>
      <c r="JR57" s="80">
        <v>12</v>
      </c>
      <c r="JS57" s="80">
        <v>27.1</v>
      </c>
      <c r="JT57" s="156">
        <f t="shared" si="3"/>
        <v>93.726937269372684</v>
      </c>
      <c r="JU57" s="20">
        <v>25.4</v>
      </c>
      <c r="JV57" s="80">
        <v>12</v>
      </c>
      <c r="JW57" s="80">
        <v>40.799999999999997</v>
      </c>
      <c r="JX57" s="156">
        <v>33.823529411764717</v>
      </c>
      <c r="JY57" s="20">
        <v>13.800000000000004</v>
      </c>
    </row>
    <row r="58" spans="1:285" ht="15" x14ac:dyDescent="0.2">
      <c r="B58" s="80">
        <v>14</v>
      </c>
      <c r="C58" s="20">
        <v>16.765980000000003</v>
      </c>
      <c r="D58" s="139"/>
      <c r="E58" s="139"/>
      <c r="F58" s="80">
        <v>14</v>
      </c>
      <c r="G58" s="20">
        <v>33.157600000000002</v>
      </c>
      <c r="H58" s="139"/>
      <c r="J58" s="80">
        <v>14</v>
      </c>
      <c r="K58" s="20">
        <v>14.198940000000002</v>
      </c>
      <c r="L58" s="139"/>
      <c r="M58" s="20"/>
      <c r="N58" s="20">
        <v>14</v>
      </c>
      <c r="O58" s="20">
        <v>14.198940000000002</v>
      </c>
      <c r="P58" s="139"/>
      <c r="Q58" s="139"/>
      <c r="R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P58" s="80">
        <v>5</v>
      </c>
      <c r="AQ58" s="80">
        <v>5.18</v>
      </c>
      <c r="AT58" s="80">
        <v>6</v>
      </c>
      <c r="AU58" s="80">
        <v>1.6</v>
      </c>
      <c r="AX58" s="80">
        <v>4</v>
      </c>
      <c r="AY58" s="80">
        <v>54.4</v>
      </c>
      <c r="BB58" s="80">
        <v>5</v>
      </c>
      <c r="BC58" s="80">
        <v>40</v>
      </c>
      <c r="BG58" t="s">
        <v>505</v>
      </c>
      <c r="CL58" s="80">
        <v>20</v>
      </c>
      <c r="CM58" s="80">
        <v>4.4000000000000004</v>
      </c>
      <c r="CP58" s="80">
        <v>20</v>
      </c>
      <c r="CQ58" s="80">
        <v>6.38</v>
      </c>
      <c r="CT58" s="80">
        <v>20</v>
      </c>
      <c r="CU58" s="80">
        <v>7.11</v>
      </c>
      <c r="CX58">
        <v>24</v>
      </c>
      <c r="CY58">
        <v>1.0900000000000001</v>
      </c>
      <c r="EH58" s="83">
        <v>9.4499999999999993</v>
      </c>
      <c r="EI58" s="20">
        <v>9.375</v>
      </c>
      <c r="EJ58" s="196">
        <v>125.86177014957792</v>
      </c>
      <c r="EK58" s="196">
        <v>11.79954095152293</v>
      </c>
      <c r="EL58" s="83">
        <v>9.4499999999999993</v>
      </c>
      <c r="EM58" s="196">
        <v>85.55</v>
      </c>
      <c r="EN58" s="196">
        <v>110.64681539883013</v>
      </c>
      <c r="EO58" s="196">
        <v>94.658350573699167</v>
      </c>
      <c r="GH58" s="156">
        <v>32</v>
      </c>
      <c r="GI58" s="20">
        <v>1.8</v>
      </c>
      <c r="GL58" s="156">
        <v>32</v>
      </c>
      <c r="GM58" s="20">
        <v>1.35</v>
      </c>
      <c r="GN58" s="156"/>
      <c r="GO58" s="20"/>
      <c r="GP58" s="156">
        <v>32</v>
      </c>
      <c r="GQ58" s="20">
        <v>1.35</v>
      </c>
      <c r="GT58" s="80">
        <v>32</v>
      </c>
      <c r="GU58" s="80">
        <v>12.3</v>
      </c>
      <c r="GX58" s="80">
        <v>32</v>
      </c>
      <c r="GY58" s="80">
        <v>8.92</v>
      </c>
      <c r="HB58" s="80">
        <v>32</v>
      </c>
      <c r="HC58" s="80">
        <v>7.56</v>
      </c>
      <c r="HF58" s="80">
        <v>32</v>
      </c>
      <c r="HG58" s="80">
        <v>8.24</v>
      </c>
      <c r="JR58" s="80">
        <v>24</v>
      </c>
      <c r="JS58" s="80">
        <v>5.22</v>
      </c>
      <c r="JT58" s="156">
        <f t="shared" si="3"/>
        <v>106.89655172413796</v>
      </c>
      <c r="JU58" s="20">
        <v>5.580000000000001</v>
      </c>
      <c r="JV58" s="80">
        <v>24</v>
      </c>
      <c r="JW58" s="80">
        <v>14.5</v>
      </c>
      <c r="JX58" s="156">
        <v>47.586206896551708</v>
      </c>
      <c r="JY58" s="20">
        <v>6.8999999999999986</v>
      </c>
    </row>
    <row r="59" spans="1:285" ht="15" x14ac:dyDescent="0.2">
      <c r="B59" s="80">
        <v>24</v>
      </c>
      <c r="C59" s="20">
        <v>6.2571599999999998</v>
      </c>
      <c r="D59" s="139"/>
      <c r="E59" s="139"/>
      <c r="F59" s="80">
        <v>24</v>
      </c>
      <c r="G59" s="20">
        <v>14.198940000000002</v>
      </c>
      <c r="H59" s="139"/>
      <c r="J59" s="80">
        <v>24</v>
      </c>
      <c r="K59" s="20">
        <v>4.0644800000000005</v>
      </c>
      <c r="L59" s="139"/>
      <c r="M59" s="20"/>
      <c r="N59" s="20">
        <v>24</v>
      </c>
      <c r="O59" s="20">
        <v>4.2249200000000009</v>
      </c>
      <c r="P59" s="139"/>
      <c r="Q59" s="139"/>
      <c r="R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P59" s="80">
        <v>6</v>
      </c>
      <c r="AQ59" s="80">
        <v>4.0199999999999996</v>
      </c>
      <c r="AT59" s="80">
        <v>7</v>
      </c>
      <c r="AU59" s="80">
        <v>1.45</v>
      </c>
      <c r="AX59" s="80">
        <v>5</v>
      </c>
      <c r="AY59" s="80">
        <v>44.2</v>
      </c>
      <c r="BB59" s="80">
        <v>6</v>
      </c>
      <c r="BC59" s="80">
        <v>31.4</v>
      </c>
      <c r="BF59" t="s">
        <v>88</v>
      </c>
      <c r="BG59" s="12" t="s">
        <v>121</v>
      </c>
      <c r="CL59" s="80">
        <v>24</v>
      </c>
      <c r="CM59" s="80">
        <v>2.93</v>
      </c>
      <c r="CP59" s="80">
        <v>24</v>
      </c>
      <c r="CQ59" s="80">
        <v>3.47</v>
      </c>
      <c r="CT59" s="80">
        <v>24</v>
      </c>
      <c r="CU59" s="80">
        <v>4.1900000000000004</v>
      </c>
      <c r="EH59" s="83">
        <v>10.5</v>
      </c>
      <c r="EI59" s="20">
        <v>2.7749999999999999</v>
      </c>
      <c r="EJ59" s="196">
        <v>200</v>
      </c>
      <c r="EK59" s="196">
        <v>5.55</v>
      </c>
      <c r="EL59" s="83">
        <v>10.5</v>
      </c>
      <c r="EM59" s="196">
        <v>39.5</v>
      </c>
      <c r="EN59" s="196">
        <v>181.90890804242733</v>
      </c>
      <c r="EO59" s="196">
        <v>71.854018676758784</v>
      </c>
      <c r="JR59" s="80">
        <v>36</v>
      </c>
      <c r="JS59" s="80">
        <v>0.69599999999999995</v>
      </c>
      <c r="JT59" s="156">
        <f t="shared" si="3"/>
        <v>150</v>
      </c>
      <c r="JU59" s="20">
        <v>1.044</v>
      </c>
      <c r="JV59" s="80">
        <v>36</v>
      </c>
      <c r="JW59" s="80">
        <v>5.53</v>
      </c>
      <c r="JX59" s="156">
        <v>37.432188065099439</v>
      </c>
      <c r="JY59" s="20">
        <v>2.0699999999999994</v>
      </c>
    </row>
    <row r="60" spans="1:285" ht="15" x14ac:dyDescent="0.2">
      <c r="B60" s="80">
        <v>28</v>
      </c>
      <c r="C60" s="20">
        <v>4.7864599999999999</v>
      </c>
      <c r="D60" s="139"/>
      <c r="E60" s="139"/>
      <c r="F60" s="80">
        <v>28</v>
      </c>
      <c r="G60" s="20">
        <v>8.6637599999999999</v>
      </c>
      <c r="H60" s="139"/>
      <c r="J60" s="80">
        <v>28</v>
      </c>
      <c r="K60" s="20">
        <v>3.1285799999999999</v>
      </c>
      <c r="L60" s="139"/>
      <c r="M60" s="20"/>
      <c r="N60" s="20">
        <v>28</v>
      </c>
      <c r="O60" s="20">
        <v>2.5804100000000005</v>
      </c>
      <c r="P60" s="139"/>
      <c r="Q60" s="139"/>
      <c r="R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P60" s="80">
        <v>7</v>
      </c>
      <c r="AQ60" s="80">
        <v>3.29</v>
      </c>
      <c r="AT60" s="80">
        <v>8</v>
      </c>
      <c r="AU60" s="80">
        <v>0.91300000000000003</v>
      </c>
      <c r="AX60" s="80">
        <v>6</v>
      </c>
      <c r="AY60" s="80">
        <v>40.700000000000003</v>
      </c>
      <c r="BB60" s="80">
        <v>7</v>
      </c>
      <c r="BC60" s="80">
        <v>23.8</v>
      </c>
      <c r="BF60" s="80">
        <v>8.3333333333333329E-2</v>
      </c>
      <c r="BG60" s="80">
        <v>231.30100000000002</v>
      </c>
      <c r="CL60" s="80">
        <v>30</v>
      </c>
      <c r="CM60" s="80">
        <v>1.63</v>
      </c>
      <c r="CP60" s="80">
        <v>30.1</v>
      </c>
      <c r="CQ60" s="80">
        <v>1.81</v>
      </c>
      <c r="CT60" s="80">
        <v>30</v>
      </c>
      <c r="CU60" s="80">
        <v>2.35</v>
      </c>
      <c r="EH60" s="83">
        <v>11.15</v>
      </c>
      <c r="EI60" s="20">
        <v>0.375</v>
      </c>
      <c r="EJ60" s="196">
        <v>200</v>
      </c>
      <c r="EK60" s="196">
        <v>0.75</v>
      </c>
      <c r="EL60" s="83">
        <v>11.15</v>
      </c>
      <c r="EM60" s="196">
        <v>40.75</v>
      </c>
      <c r="EN60" s="196">
        <v>191.90722747265079</v>
      </c>
      <c r="EO60" s="196">
        <v>78.20219519510519</v>
      </c>
      <c r="JR60" s="80">
        <v>48</v>
      </c>
      <c r="JS60" s="80">
        <v>0.34799999999999998</v>
      </c>
      <c r="JT60" s="156">
        <f t="shared" si="3"/>
        <v>198.85057471264369</v>
      </c>
      <c r="JU60" s="20">
        <v>0.69200000000000006</v>
      </c>
      <c r="JV60" s="80">
        <v>48</v>
      </c>
      <c r="JW60" s="80">
        <v>2.76</v>
      </c>
      <c r="JX60" s="156">
        <v>25.362318840579718</v>
      </c>
      <c r="JY60" s="20">
        <v>0.70000000000000018</v>
      </c>
    </row>
    <row r="61" spans="1:285" ht="15" x14ac:dyDescent="0.2">
      <c r="B61" s="80">
        <v>32</v>
      </c>
      <c r="C61" s="20">
        <v>3.3157600000000005</v>
      </c>
      <c r="D61" s="139"/>
      <c r="E61" s="139"/>
      <c r="F61" s="80">
        <v>32</v>
      </c>
      <c r="G61" s="20">
        <v>4.7864599999999999</v>
      </c>
      <c r="H61" s="139"/>
      <c r="J61" s="80">
        <v>32</v>
      </c>
      <c r="K61" s="20">
        <v>1.4733740000000002</v>
      </c>
      <c r="L61" s="139"/>
      <c r="M61" s="20"/>
      <c r="N61" s="20">
        <v>32</v>
      </c>
      <c r="O61" s="20">
        <v>1.4733740000000002</v>
      </c>
      <c r="P61" s="139"/>
      <c r="Q61" s="139"/>
      <c r="AP61" s="80">
        <v>8</v>
      </c>
      <c r="AQ61" s="80">
        <v>2.71</v>
      </c>
      <c r="AX61" s="80">
        <v>7</v>
      </c>
      <c r="AY61" s="80">
        <v>32.799999999999997</v>
      </c>
      <c r="BB61" s="80">
        <v>8</v>
      </c>
      <c r="BC61" s="80">
        <v>20.2</v>
      </c>
      <c r="BF61" s="80">
        <v>0.16666666666666666</v>
      </c>
      <c r="BG61" s="80">
        <v>199.21300000000002</v>
      </c>
      <c r="DB61" s="81" t="s">
        <v>545</v>
      </c>
      <c r="DC61" t="s">
        <v>546</v>
      </c>
      <c r="DE61" s="80" t="s">
        <v>342</v>
      </c>
      <c r="DF61" s="80" t="s">
        <v>414</v>
      </c>
      <c r="EH61" s="83">
        <v>12</v>
      </c>
      <c r="EI61" s="20">
        <v>0.34250000000000003</v>
      </c>
      <c r="EJ61" s="196">
        <v>199.99999999999997</v>
      </c>
      <c r="EK61" s="196">
        <v>0.68500000000000005</v>
      </c>
      <c r="EL61" s="83">
        <v>12</v>
      </c>
      <c r="EM61" s="196">
        <v>12.102499999999999</v>
      </c>
      <c r="EN61" s="196">
        <v>175.52668556588384</v>
      </c>
      <c r="EO61" s="196">
        <v>21.243117120611089</v>
      </c>
    </row>
    <row r="62" spans="1:285" x14ac:dyDescent="0.2">
      <c r="AP62" s="80">
        <v>10</v>
      </c>
      <c r="AQ62" s="80">
        <v>1.57</v>
      </c>
      <c r="AX62" s="80">
        <v>8</v>
      </c>
      <c r="AY62" s="80">
        <v>29.6</v>
      </c>
      <c r="BF62" s="80">
        <v>0.25</v>
      </c>
      <c r="BG62" s="80">
        <v>184.50600000000003</v>
      </c>
      <c r="DB62" t="s">
        <v>342</v>
      </c>
      <c r="DC62" t="s">
        <v>414</v>
      </c>
      <c r="DE62" s="80">
        <v>0</v>
      </c>
      <c r="DF62" s="80">
        <v>0</v>
      </c>
    </row>
    <row r="63" spans="1:285" x14ac:dyDescent="0.2">
      <c r="AP63" s="80">
        <v>12</v>
      </c>
      <c r="AQ63" s="80">
        <v>1.08</v>
      </c>
      <c r="AX63" s="80">
        <v>10</v>
      </c>
      <c r="AY63" s="80">
        <v>24.2</v>
      </c>
      <c r="BF63" s="80">
        <v>0.33333333333333331</v>
      </c>
      <c r="BG63" s="80">
        <v>163.11400000000003</v>
      </c>
      <c r="DB63" s="80">
        <v>0</v>
      </c>
      <c r="DC63" s="80">
        <v>47.4</v>
      </c>
      <c r="DE63" s="80">
        <v>1</v>
      </c>
      <c r="DF63" s="80">
        <v>76.2</v>
      </c>
    </row>
    <row r="64" spans="1:285" x14ac:dyDescent="0.2">
      <c r="AX64" s="80">
        <v>12</v>
      </c>
      <c r="AY64" s="80">
        <v>17.100000000000001</v>
      </c>
      <c r="BF64" s="80">
        <v>0.5</v>
      </c>
      <c r="BG64" s="80">
        <v>130.89230000000003</v>
      </c>
      <c r="DB64" s="80">
        <v>1</v>
      </c>
      <c r="DC64" s="80">
        <v>132</v>
      </c>
      <c r="DE64" s="80">
        <v>2</v>
      </c>
      <c r="DF64" s="80">
        <v>131</v>
      </c>
    </row>
    <row r="65" spans="27:285" x14ac:dyDescent="0.2">
      <c r="BF65" s="80">
        <v>0.66666666666666663</v>
      </c>
      <c r="BG65" s="80">
        <v>107.36109999999999</v>
      </c>
      <c r="DB65" s="80">
        <v>2</v>
      </c>
      <c r="DC65" s="80">
        <v>230</v>
      </c>
      <c r="DE65" s="80">
        <v>3</v>
      </c>
      <c r="DF65" s="80">
        <v>103</v>
      </c>
    </row>
    <row r="66" spans="27:285" x14ac:dyDescent="0.2">
      <c r="BF66" s="80">
        <v>0.91666666666666663</v>
      </c>
      <c r="BG66" s="80">
        <v>93.991100000000003</v>
      </c>
      <c r="DB66" s="80">
        <v>3</v>
      </c>
      <c r="DC66" s="80">
        <v>205</v>
      </c>
      <c r="DE66" s="80">
        <v>4</v>
      </c>
      <c r="DF66" s="80">
        <v>98.2</v>
      </c>
      <c r="JV66" t="s">
        <v>784</v>
      </c>
    </row>
    <row r="67" spans="27:285" x14ac:dyDescent="0.2">
      <c r="BF67" s="80">
        <v>2</v>
      </c>
      <c r="BG67" s="80">
        <v>67.117400000000004</v>
      </c>
      <c r="DB67" s="80">
        <v>6</v>
      </c>
      <c r="DC67" s="80">
        <v>118</v>
      </c>
      <c r="DE67" s="80">
        <v>6</v>
      </c>
      <c r="DF67" s="80">
        <v>73.7</v>
      </c>
      <c r="JV67" t="s">
        <v>488</v>
      </c>
      <c r="JW67" t="s">
        <v>396</v>
      </c>
    </row>
    <row r="68" spans="27:285" x14ac:dyDescent="0.2">
      <c r="BF68" s="80">
        <v>3</v>
      </c>
      <c r="BG68" s="80">
        <v>55.886600000000001</v>
      </c>
      <c r="DB68" s="80">
        <v>9</v>
      </c>
      <c r="DC68" s="80">
        <v>57.3</v>
      </c>
      <c r="DE68" s="80">
        <v>9</v>
      </c>
      <c r="DF68" s="80">
        <v>30.6</v>
      </c>
      <c r="GD68" t="s">
        <v>738</v>
      </c>
      <c r="GF68" t="s">
        <v>739</v>
      </c>
      <c r="GH68" t="s">
        <v>740</v>
      </c>
      <c r="GJ68" t="s">
        <v>741</v>
      </c>
      <c r="JQ68" s="80" t="s">
        <v>342</v>
      </c>
      <c r="JR68" s="80" t="s">
        <v>414</v>
      </c>
      <c r="JV68" s="80" t="s">
        <v>342</v>
      </c>
      <c r="JW68" s="80" t="s">
        <v>414</v>
      </c>
    </row>
    <row r="69" spans="27:285" x14ac:dyDescent="0.2">
      <c r="BF69" s="80">
        <v>5</v>
      </c>
      <c r="BG69" s="20">
        <v>7.19306</v>
      </c>
      <c r="DB69" s="80">
        <v>12</v>
      </c>
      <c r="DC69" s="80">
        <v>31.4</v>
      </c>
      <c r="DE69" s="80">
        <v>12</v>
      </c>
      <c r="DF69" s="80">
        <v>13.6</v>
      </c>
      <c r="GD69" t="s">
        <v>488</v>
      </c>
      <c r="GE69" t="s">
        <v>396</v>
      </c>
      <c r="GT69" t="s">
        <v>738</v>
      </c>
      <c r="GV69" t="s">
        <v>739</v>
      </c>
      <c r="GX69" t="s">
        <v>742</v>
      </c>
      <c r="GZ69" t="s">
        <v>741</v>
      </c>
      <c r="JQ69" s="80">
        <v>0</v>
      </c>
      <c r="JR69" s="80">
        <v>0</v>
      </c>
      <c r="JS69">
        <v>0</v>
      </c>
      <c r="JT69" s="20">
        <v>0</v>
      </c>
      <c r="JV69" s="80">
        <v>0</v>
      </c>
      <c r="JW69" s="80">
        <v>0</v>
      </c>
      <c r="JX69">
        <v>0</v>
      </c>
      <c r="JY69" s="20">
        <v>0</v>
      </c>
    </row>
    <row r="70" spans="27:285" x14ac:dyDescent="0.2">
      <c r="BF70" s="80">
        <v>8</v>
      </c>
      <c r="BG70" s="20">
        <v>4.5992800000000003</v>
      </c>
      <c r="CK70" s="80" t="s">
        <v>342</v>
      </c>
      <c r="CL70" s="80" t="s">
        <v>414</v>
      </c>
      <c r="DB70" s="80">
        <v>14</v>
      </c>
      <c r="DC70" s="80">
        <v>220</v>
      </c>
      <c r="DE70" s="80">
        <v>14</v>
      </c>
      <c r="DF70" s="80">
        <v>132</v>
      </c>
      <c r="GD70" s="80" t="s">
        <v>342</v>
      </c>
      <c r="GE70" s="80" t="s">
        <v>414</v>
      </c>
      <c r="GT70" s="80" t="s">
        <v>342</v>
      </c>
      <c r="GU70" s="80" t="s">
        <v>414</v>
      </c>
      <c r="GV70" s="80" t="s">
        <v>342</v>
      </c>
      <c r="GW70" s="80" t="s">
        <v>414</v>
      </c>
      <c r="JB70" t="s">
        <v>488</v>
      </c>
      <c r="JC70" t="s">
        <v>396</v>
      </c>
      <c r="JD70" t="s">
        <v>720</v>
      </c>
      <c r="JE70" t="s">
        <v>371</v>
      </c>
      <c r="JQ70" s="80">
        <v>0.25</v>
      </c>
      <c r="JR70" s="80">
        <v>6.96</v>
      </c>
      <c r="JS70" s="156">
        <f t="shared" ref="JS70:JS84" si="4">100/JR70*JT70</f>
        <v>160.05747126436782</v>
      </c>
      <c r="JT70" s="20">
        <v>11.14</v>
      </c>
      <c r="JV70" s="80">
        <v>0.25</v>
      </c>
      <c r="JW70" s="80">
        <v>6.22</v>
      </c>
      <c r="JX70" s="156">
        <f>100/JW70*JY70</f>
        <v>178.13504823151129</v>
      </c>
      <c r="JY70" s="20">
        <v>11.080000000000002</v>
      </c>
    </row>
    <row r="71" spans="27:285" x14ac:dyDescent="0.2">
      <c r="CK71" s="80">
        <v>0</v>
      </c>
      <c r="CL71" s="80">
        <v>0.36099999999999999</v>
      </c>
      <c r="DB71" s="80">
        <v>20</v>
      </c>
      <c r="DC71" s="80">
        <v>95.5</v>
      </c>
      <c r="DE71" s="80">
        <v>20</v>
      </c>
      <c r="DF71" s="80">
        <v>66.599999999999994</v>
      </c>
      <c r="GD71" s="156">
        <v>0</v>
      </c>
      <c r="GE71" s="20">
        <v>0</v>
      </c>
      <c r="GF71" s="156">
        <v>0</v>
      </c>
      <c r="GG71" s="20">
        <v>0</v>
      </c>
      <c r="GH71" s="156">
        <v>0</v>
      </c>
      <c r="GI71" s="20">
        <v>0</v>
      </c>
      <c r="GJ71" s="156">
        <v>0</v>
      </c>
      <c r="GK71" s="20">
        <v>0</v>
      </c>
      <c r="GT71" s="80">
        <v>0</v>
      </c>
      <c r="GU71" s="80">
        <v>0.214</v>
      </c>
      <c r="GV71" s="80">
        <v>0</v>
      </c>
      <c r="GW71" s="80">
        <v>1.1200000000000001</v>
      </c>
      <c r="GX71" s="80">
        <v>0</v>
      </c>
      <c r="GY71" s="80">
        <v>0.44400000000000001</v>
      </c>
      <c r="GZ71" s="80">
        <v>0</v>
      </c>
      <c r="HA71" s="80">
        <v>0.221</v>
      </c>
      <c r="JB71" s="80" t="s">
        <v>342</v>
      </c>
      <c r="JC71" s="80" t="s">
        <v>414</v>
      </c>
      <c r="JQ71" s="80">
        <v>0.5</v>
      </c>
      <c r="JR71" s="80">
        <v>29.9</v>
      </c>
      <c r="JS71" s="156">
        <f t="shared" si="4"/>
        <v>33.779264214046826</v>
      </c>
      <c r="JT71" s="20">
        <v>10.100000000000001</v>
      </c>
      <c r="JV71" s="80">
        <v>0.5</v>
      </c>
      <c r="JW71" s="80">
        <v>24.9</v>
      </c>
      <c r="JX71" s="156">
        <f t="shared" ref="JX71:JX84" si="5">100/JW71*JY71</f>
        <v>100</v>
      </c>
      <c r="JY71" s="20">
        <v>24.9</v>
      </c>
    </row>
    <row r="72" spans="27:285" x14ac:dyDescent="0.2">
      <c r="CK72" s="80">
        <v>0.5</v>
      </c>
      <c r="CL72" s="80">
        <v>21.7</v>
      </c>
      <c r="DB72" s="80">
        <v>24</v>
      </c>
      <c r="DC72" s="80">
        <v>37.9</v>
      </c>
      <c r="DE72" s="80">
        <v>24</v>
      </c>
      <c r="DF72" s="80">
        <v>28.9</v>
      </c>
      <c r="GD72" s="156">
        <v>2</v>
      </c>
      <c r="GE72" s="20">
        <v>22.1</v>
      </c>
      <c r="GF72" s="156">
        <v>2</v>
      </c>
      <c r="GG72" s="20">
        <v>26.6</v>
      </c>
      <c r="GH72" s="156">
        <v>2</v>
      </c>
      <c r="GI72" s="20">
        <v>32.9</v>
      </c>
      <c r="GJ72" s="156">
        <v>2</v>
      </c>
      <c r="GK72" s="20">
        <v>17.100000000000001</v>
      </c>
      <c r="GT72" s="80">
        <v>2</v>
      </c>
      <c r="GU72" s="80">
        <v>15.4</v>
      </c>
      <c r="GV72" s="80">
        <v>2</v>
      </c>
      <c r="GW72" s="80">
        <v>14</v>
      </c>
      <c r="GX72" s="80">
        <v>2</v>
      </c>
      <c r="GY72" s="80">
        <v>11.7</v>
      </c>
      <c r="GZ72" s="80">
        <v>2</v>
      </c>
      <c r="HA72" s="80">
        <v>9.68</v>
      </c>
      <c r="JB72" s="80">
        <v>0.25</v>
      </c>
      <c r="JC72" s="80">
        <v>4.59</v>
      </c>
      <c r="JD72" s="156">
        <f>100/JC72*JE72</f>
        <v>79.629629629629619</v>
      </c>
      <c r="JE72" s="80">
        <f>JE84</f>
        <v>3.6549999999999998</v>
      </c>
      <c r="JQ72" s="80">
        <v>0.75</v>
      </c>
      <c r="JR72" s="80">
        <v>57.4</v>
      </c>
      <c r="JS72" s="156">
        <f t="shared" si="4"/>
        <v>64.808362369337971</v>
      </c>
      <c r="JT72" s="20">
        <v>37.199999999999996</v>
      </c>
      <c r="JV72" s="80">
        <v>0.75</v>
      </c>
      <c r="JW72" s="80">
        <v>53.9</v>
      </c>
      <c r="JX72" s="156">
        <f t="shared" si="5"/>
        <v>94.805194805194816</v>
      </c>
      <c r="JY72" s="20">
        <v>51.1</v>
      </c>
    </row>
    <row r="73" spans="27:285" x14ac:dyDescent="0.2">
      <c r="CK73" s="80">
        <v>1</v>
      </c>
      <c r="CL73" s="80">
        <v>43.9</v>
      </c>
      <c r="DB73" s="80">
        <v>0</v>
      </c>
      <c r="DC73" s="80">
        <v>169</v>
      </c>
      <c r="DE73" s="80">
        <v>0</v>
      </c>
      <c r="DF73" s="80">
        <v>0</v>
      </c>
      <c r="GD73" s="156">
        <v>3</v>
      </c>
      <c r="GE73" s="20">
        <v>64.2</v>
      </c>
      <c r="GF73" s="156">
        <v>3</v>
      </c>
      <c r="GG73" s="20">
        <v>38.700000000000003</v>
      </c>
      <c r="GH73" s="156">
        <v>3</v>
      </c>
      <c r="GI73" s="20">
        <v>40.1</v>
      </c>
      <c r="GJ73" s="156">
        <v>3</v>
      </c>
      <c r="GK73" s="20">
        <v>25.7</v>
      </c>
      <c r="GT73" s="80">
        <v>3</v>
      </c>
      <c r="GU73" s="80">
        <v>28.9</v>
      </c>
      <c r="GV73" s="80">
        <v>3</v>
      </c>
      <c r="GW73" s="80">
        <v>21.7</v>
      </c>
      <c r="GX73" s="80">
        <v>3</v>
      </c>
      <c r="GY73" s="80">
        <v>19.399999999999999</v>
      </c>
      <c r="GZ73" s="80">
        <v>3</v>
      </c>
      <c r="HA73" s="80">
        <v>17.399999999999999</v>
      </c>
      <c r="JB73" s="80">
        <v>0.5</v>
      </c>
      <c r="JC73" s="80">
        <v>65.5</v>
      </c>
      <c r="JD73" s="156">
        <f t="shared" ref="JD73:JD83" si="6">100/JC73*JE73</f>
        <v>96.18320610687023</v>
      </c>
      <c r="JE73" s="80">
        <f t="shared" ref="JE73:JE83" si="7">JE85</f>
        <v>63</v>
      </c>
      <c r="JQ73" s="80">
        <v>1</v>
      </c>
      <c r="JR73" s="80">
        <v>74.400000000000006</v>
      </c>
      <c r="JS73" s="156">
        <f t="shared" si="4"/>
        <v>35.752688172043001</v>
      </c>
      <c r="JT73" s="20">
        <v>26.599999999999994</v>
      </c>
      <c r="JV73" s="80">
        <v>1</v>
      </c>
      <c r="JW73" s="80">
        <v>98.8</v>
      </c>
      <c r="JX73" s="156">
        <f t="shared" si="5"/>
        <v>69.02834008097166</v>
      </c>
      <c r="JY73" s="20">
        <v>68.2</v>
      </c>
    </row>
    <row r="74" spans="27:285" x14ac:dyDescent="0.2">
      <c r="CK74" s="80">
        <v>1.5</v>
      </c>
      <c r="CL74" s="80">
        <v>54.9</v>
      </c>
      <c r="DB74" s="80">
        <v>1</v>
      </c>
      <c r="DC74" s="80">
        <v>160</v>
      </c>
      <c r="DE74" s="80">
        <v>1</v>
      </c>
      <c r="DF74" s="80">
        <v>1.61</v>
      </c>
      <c r="GD74" s="156">
        <v>4</v>
      </c>
      <c r="GE74" s="20">
        <v>69.599999999999994</v>
      </c>
      <c r="GF74" s="156">
        <v>4</v>
      </c>
      <c r="GG74" s="20">
        <v>49.5</v>
      </c>
      <c r="GH74" s="156">
        <v>4</v>
      </c>
      <c r="GI74" s="20">
        <v>45.7</v>
      </c>
      <c r="GJ74" s="156">
        <v>4</v>
      </c>
      <c r="GK74" s="20">
        <v>42.1</v>
      </c>
      <c r="GT74" s="80">
        <v>4</v>
      </c>
      <c r="GU74" s="80">
        <v>38.6</v>
      </c>
      <c r="GV74" s="80">
        <v>4</v>
      </c>
      <c r="GW74" s="80">
        <v>32.1</v>
      </c>
      <c r="GX74" s="80">
        <v>4</v>
      </c>
      <c r="GY74" s="80">
        <v>29.6</v>
      </c>
      <c r="GZ74" s="80">
        <v>4</v>
      </c>
      <c r="HA74" s="80">
        <v>25.5</v>
      </c>
      <c r="JB74" s="80">
        <v>0.75</v>
      </c>
      <c r="JC74" s="80">
        <v>104</v>
      </c>
      <c r="JD74" s="156">
        <f t="shared" si="6"/>
        <v>66.250000000000014</v>
      </c>
      <c r="JE74" s="80">
        <f t="shared" si="7"/>
        <v>68.900000000000006</v>
      </c>
      <c r="JQ74" s="80">
        <v>1.5</v>
      </c>
      <c r="JR74" s="80">
        <v>104</v>
      </c>
      <c r="JS74" s="156">
        <f t="shared" si="4"/>
        <v>37.5</v>
      </c>
      <c r="JT74" s="20">
        <v>39</v>
      </c>
      <c r="JV74" s="80">
        <v>1.5</v>
      </c>
      <c r="JW74" s="80">
        <v>180</v>
      </c>
      <c r="JX74" s="156">
        <f t="shared" si="5"/>
        <v>37.777777777777779</v>
      </c>
      <c r="JY74" s="20">
        <v>68</v>
      </c>
    </row>
    <row r="75" spans="27:285" x14ac:dyDescent="0.2">
      <c r="CK75" s="80">
        <v>2</v>
      </c>
      <c r="CL75" s="80">
        <v>55.1</v>
      </c>
      <c r="DB75" s="80">
        <v>2</v>
      </c>
      <c r="DC75" s="80">
        <v>156</v>
      </c>
      <c r="DE75" s="80">
        <v>2</v>
      </c>
      <c r="DF75" s="80">
        <v>13.3</v>
      </c>
      <c r="GD75" s="156">
        <v>6</v>
      </c>
      <c r="GE75" s="20">
        <v>76.8</v>
      </c>
      <c r="GF75" s="156">
        <v>6</v>
      </c>
      <c r="GG75" s="20">
        <v>82.9</v>
      </c>
      <c r="GH75" s="156">
        <v>6</v>
      </c>
      <c r="GI75" s="20">
        <v>60.6</v>
      </c>
      <c r="GJ75" s="156">
        <v>6</v>
      </c>
      <c r="GK75" s="20">
        <v>65.5</v>
      </c>
      <c r="GT75" s="80">
        <v>6</v>
      </c>
      <c r="GU75" s="80">
        <v>43.8</v>
      </c>
      <c r="GV75" s="80">
        <v>6</v>
      </c>
      <c r="GW75" s="80">
        <v>46.1</v>
      </c>
      <c r="GX75" s="80">
        <v>6</v>
      </c>
      <c r="GY75" s="80">
        <v>37.4</v>
      </c>
      <c r="GZ75" s="80">
        <v>6</v>
      </c>
      <c r="HA75" s="80">
        <v>52.4</v>
      </c>
      <c r="HZ75" t="s">
        <v>706</v>
      </c>
      <c r="IE75" t="s">
        <v>634</v>
      </c>
      <c r="JB75" s="80">
        <v>1</v>
      </c>
      <c r="JC75" s="80">
        <v>129</v>
      </c>
      <c r="JD75" s="156">
        <f t="shared" si="6"/>
        <v>39.767441860465119</v>
      </c>
      <c r="JE75" s="80">
        <f t="shared" si="7"/>
        <v>51.3</v>
      </c>
      <c r="JQ75" s="80">
        <v>2</v>
      </c>
      <c r="JR75" s="80">
        <v>101</v>
      </c>
      <c r="JS75" s="156">
        <f t="shared" si="4"/>
        <v>47.524752475247524</v>
      </c>
      <c r="JT75" s="20">
        <v>48</v>
      </c>
      <c r="JV75" s="80">
        <v>2</v>
      </c>
      <c r="JW75" s="80">
        <v>201</v>
      </c>
      <c r="JX75" s="156">
        <f t="shared" si="5"/>
        <v>26.865671641791046</v>
      </c>
      <c r="JY75" s="20">
        <v>54</v>
      </c>
    </row>
    <row r="76" spans="27:285" x14ac:dyDescent="0.2">
      <c r="CK76" s="80">
        <v>2.5</v>
      </c>
      <c r="CL76" s="80">
        <v>51.8</v>
      </c>
      <c r="DB76" s="80">
        <v>3</v>
      </c>
      <c r="DC76" s="80">
        <v>167</v>
      </c>
      <c r="DE76" s="80">
        <v>3</v>
      </c>
      <c r="DF76" s="80">
        <v>27.2</v>
      </c>
      <c r="EJ76" s="80" t="s">
        <v>342</v>
      </c>
      <c r="EK76" s="80" t="s">
        <v>414</v>
      </c>
      <c r="GD76" s="156">
        <v>10</v>
      </c>
      <c r="GE76" s="20">
        <v>76.099999999999994</v>
      </c>
      <c r="GF76" s="156">
        <v>8</v>
      </c>
      <c r="GG76" s="20">
        <v>79.7</v>
      </c>
      <c r="GH76" s="156">
        <v>8</v>
      </c>
      <c r="GI76" s="20">
        <v>76.400000000000006</v>
      </c>
      <c r="GJ76" s="156">
        <v>8</v>
      </c>
      <c r="GK76" s="20">
        <v>83.6</v>
      </c>
      <c r="GT76" s="80">
        <v>8</v>
      </c>
      <c r="GU76" s="80">
        <v>50.8</v>
      </c>
      <c r="GV76" s="80">
        <v>8</v>
      </c>
      <c r="GW76" s="80">
        <v>54.8</v>
      </c>
      <c r="GX76" s="80">
        <v>8</v>
      </c>
      <c r="GY76" s="80">
        <v>53</v>
      </c>
      <c r="GZ76" s="80">
        <v>8</v>
      </c>
      <c r="HA76" s="80">
        <v>60.5</v>
      </c>
      <c r="JB76" s="80">
        <v>1.5</v>
      </c>
      <c r="JC76" s="80">
        <v>136</v>
      </c>
      <c r="JD76" s="156">
        <f t="shared" si="6"/>
        <v>28.749999999999996</v>
      </c>
      <c r="JE76" s="80">
        <f t="shared" si="7"/>
        <v>39.099999999999994</v>
      </c>
      <c r="JQ76" s="80">
        <v>3</v>
      </c>
      <c r="JR76" s="80">
        <v>92.9</v>
      </c>
      <c r="JS76" s="156">
        <f t="shared" si="4"/>
        <v>52.852529601722274</v>
      </c>
      <c r="JT76" s="20">
        <v>49.099999999999994</v>
      </c>
      <c r="JV76" s="80">
        <v>3</v>
      </c>
      <c r="JW76" s="80">
        <v>182</v>
      </c>
      <c r="JX76" s="156">
        <f t="shared" si="5"/>
        <v>19.230769230769234</v>
      </c>
      <c r="JY76" s="20">
        <v>35</v>
      </c>
    </row>
    <row r="77" spans="27:285" x14ac:dyDescent="0.2">
      <c r="CK77" s="80">
        <v>3</v>
      </c>
      <c r="CL77" s="80">
        <v>48.9</v>
      </c>
      <c r="DB77" s="80">
        <v>4</v>
      </c>
      <c r="DC77" s="80">
        <v>189</v>
      </c>
      <c r="DE77" s="80">
        <v>4</v>
      </c>
      <c r="DF77" s="80">
        <v>47.6</v>
      </c>
      <c r="EJ77" s="80">
        <v>0</v>
      </c>
      <c r="EK77" s="80">
        <v>0</v>
      </c>
      <c r="EL77">
        <f>50*EK77</f>
        <v>0</v>
      </c>
      <c r="EM77">
        <v>0</v>
      </c>
      <c r="GD77" s="156">
        <v>12</v>
      </c>
      <c r="GE77" s="20">
        <v>66.900000000000006</v>
      </c>
      <c r="GF77" s="156">
        <v>10</v>
      </c>
      <c r="GG77" s="20">
        <v>71.2</v>
      </c>
      <c r="GH77" s="156">
        <v>10</v>
      </c>
      <c r="GI77" s="20">
        <v>73.599999999999994</v>
      </c>
      <c r="GJ77" s="156">
        <v>10</v>
      </c>
      <c r="GK77" s="20">
        <v>83.8</v>
      </c>
      <c r="GT77" s="80">
        <v>10</v>
      </c>
      <c r="GU77" s="80">
        <v>59.5</v>
      </c>
      <c r="GV77" s="80">
        <v>10</v>
      </c>
      <c r="GW77" s="80">
        <v>58.6</v>
      </c>
      <c r="GX77" s="80">
        <v>10</v>
      </c>
      <c r="GY77" s="80">
        <v>57.3</v>
      </c>
      <c r="GZ77" s="80">
        <v>10</v>
      </c>
      <c r="HA77" s="80">
        <v>68.599999999999994</v>
      </c>
      <c r="IT77" t="s">
        <v>701</v>
      </c>
      <c r="JB77" s="80">
        <v>2</v>
      </c>
      <c r="JC77" s="80">
        <v>121</v>
      </c>
      <c r="JD77" s="156">
        <f t="shared" si="6"/>
        <v>23.801652892561982</v>
      </c>
      <c r="JE77" s="80">
        <f t="shared" si="7"/>
        <v>28.799999999999997</v>
      </c>
      <c r="JQ77" s="80">
        <v>4</v>
      </c>
      <c r="JR77" s="80">
        <v>81.400000000000006</v>
      </c>
      <c r="JS77" s="156">
        <f t="shared" si="4"/>
        <v>59.705159705159694</v>
      </c>
      <c r="JT77" s="20">
        <v>48.599999999999994</v>
      </c>
      <c r="JV77" s="80">
        <v>4</v>
      </c>
      <c r="JW77" s="80">
        <v>151</v>
      </c>
      <c r="JX77" s="156">
        <f t="shared" si="5"/>
        <v>28.476821192052981</v>
      </c>
      <c r="JY77" s="20">
        <v>43</v>
      </c>
    </row>
    <row r="78" spans="27:285" x14ac:dyDescent="0.2">
      <c r="AA78">
        <v>393</v>
      </c>
      <c r="AB78">
        <f>0.2674*AA78</f>
        <v>105.08820000000001</v>
      </c>
      <c r="CK78" s="80">
        <v>4</v>
      </c>
      <c r="CL78" s="80">
        <v>39.4</v>
      </c>
      <c r="DB78" s="80">
        <v>6</v>
      </c>
      <c r="DC78" s="80">
        <v>219</v>
      </c>
      <c r="DE78" s="80">
        <v>6</v>
      </c>
      <c r="DF78" s="80">
        <v>86.5</v>
      </c>
      <c r="EJ78" s="80">
        <v>1</v>
      </c>
      <c r="EK78" s="80">
        <v>0</v>
      </c>
      <c r="EL78">
        <f t="shared" ref="EL78:EL88" si="8">50*EK78</f>
        <v>0</v>
      </c>
      <c r="EM78">
        <v>0</v>
      </c>
      <c r="GD78" s="156">
        <v>15</v>
      </c>
      <c r="GE78" s="20">
        <v>45</v>
      </c>
      <c r="GF78" s="156">
        <v>12</v>
      </c>
      <c r="GG78" s="20">
        <v>74.099999999999994</v>
      </c>
      <c r="GH78" s="156">
        <v>12</v>
      </c>
      <c r="GI78" s="20">
        <v>63.5</v>
      </c>
      <c r="GJ78" s="156">
        <v>12</v>
      </c>
      <c r="GK78" s="20">
        <v>75.7</v>
      </c>
      <c r="GT78" s="80">
        <v>12</v>
      </c>
      <c r="GU78" s="80">
        <v>57</v>
      </c>
      <c r="GV78" s="80">
        <v>12</v>
      </c>
      <c r="GW78" s="80">
        <v>61.1</v>
      </c>
      <c r="GX78" s="80">
        <v>12</v>
      </c>
      <c r="GY78" s="80">
        <v>55.6</v>
      </c>
      <c r="GZ78" s="80">
        <v>12</v>
      </c>
      <c r="HA78" s="80">
        <v>62.4</v>
      </c>
      <c r="HR78" t="s">
        <v>688</v>
      </c>
      <c r="HS78" t="s">
        <v>689</v>
      </c>
      <c r="HU78" t="s">
        <v>597</v>
      </c>
      <c r="HW78" t="s">
        <v>690</v>
      </c>
      <c r="HY78" t="s">
        <v>396</v>
      </c>
      <c r="IT78" t="s">
        <v>700</v>
      </c>
      <c r="IU78" t="s">
        <v>367</v>
      </c>
      <c r="IW78" t="s">
        <v>329</v>
      </c>
      <c r="IX78" t="s">
        <v>702</v>
      </c>
      <c r="JB78" s="80">
        <v>4</v>
      </c>
      <c r="JC78" s="80">
        <v>76.8</v>
      </c>
      <c r="JD78" s="156">
        <f t="shared" si="6"/>
        <v>21.093749999999996</v>
      </c>
      <c r="JE78" s="80">
        <f t="shared" si="7"/>
        <v>16.199999999999996</v>
      </c>
      <c r="JQ78" s="80">
        <v>5</v>
      </c>
      <c r="JR78" s="80">
        <v>69.900000000000006</v>
      </c>
      <c r="JS78" s="156">
        <f t="shared" si="4"/>
        <v>60.228898426323312</v>
      </c>
      <c r="JT78" s="20">
        <v>42.099999999999994</v>
      </c>
      <c r="JV78" s="80">
        <v>5</v>
      </c>
      <c r="JW78" s="80">
        <v>129</v>
      </c>
      <c r="JX78" s="156">
        <f t="shared" si="5"/>
        <v>31.007751937984498</v>
      </c>
      <c r="JY78" s="20">
        <v>40</v>
      </c>
    </row>
    <row r="79" spans="27:285" x14ac:dyDescent="0.2">
      <c r="CK79" s="80">
        <v>6</v>
      </c>
      <c r="CL79" s="80">
        <v>23.6</v>
      </c>
      <c r="DB79" s="80">
        <v>9</v>
      </c>
      <c r="DC79" s="80">
        <v>226</v>
      </c>
      <c r="DE79" s="80">
        <v>9</v>
      </c>
      <c r="DF79" s="80">
        <v>97.9</v>
      </c>
      <c r="EJ79" s="80">
        <v>2</v>
      </c>
      <c r="EK79" s="80">
        <v>0</v>
      </c>
      <c r="EL79">
        <f t="shared" si="8"/>
        <v>0</v>
      </c>
      <c r="EM79">
        <v>0</v>
      </c>
      <c r="GD79" s="156">
        <v>18</v>
      </c>
      <c r="GE79" s="20">
        <v>31.8</v>
      </c>
      <c r="GF79" s="156">
        <v>15</v>
      </c>
      <c r="GG79" s="20">
        <v>50.9</v>
      </c>
      <c r="GH79" s="156">
        <v>15</v>
      </c>
      <c r="GI79" s="20">
        <v>45</v>
      </c>
      <c r="GJ79" s="156">
        <v>15</v>
      </c>
      <c r="GK79" s="20">
        <v>46.4</v>
      </c>
      <c r="GT79" s="80">
        <v>15</v>
      </c>
      <c r="GU79" s="80">
        <v>48.7</v>
      </c>
      <c r="GV79" s="80">
        <v>15</v>
      </c>
      <c r="GW79" s="80">
        <v>50.7</v>
      </c>
      <c r="GX79" s="80">
        <v>15</v>
      </c>
      <c r="GY79" s="80">
        <v>46.7</v>
      </c>
      <c r="GZ79" s="80">
        <v>15</v>
      </c>
      <c r="HA79" s="80">
        <v>53.5</v>
      </c>
      <c r="HR79" t="s">
        <v>488</v>
      </c>
      <c r="HS79" t="s">
        <v>381</v>
      </c>
      <c r="IE79" t="s">
        <v>703</v>
      </c>
      <c r="IF79" t="s">
        <v>340</v>
      </c>
      <c r="IH79" t="s">
        <v>704</v>
      </c>
      <c r="IJ79" t="s">
        <v>659</v>
      </c>
      <c r="IL79" t="s">
        <v>705</v>
      </c>
      <c r="IT79" t="s">
        <v>488</v>
      </c>
      <c r="IU79" t="s">
        <v>381</v>
      </c>
      <c r="JB79" s="80">
        <v>6</v>
      </c>
      <c r="JC79" s="80">
        <v>60.8</v>
      </c>
      <c r="JD79" s="156">
        <f t="shared" si="6"/>
        <v>24.999999999999996</v>
      </c>
      <c r="JE79" s="80">
        <f t="shared" si="7"/>
        <v>15.199999999999996</v>
      </c>
      <c r="JQ79" s="80">
        <v>6</v>
      </c>
      <c r="JR79" s="80">
        <v>64</v>
      </c>
      <c r="JS79" s="156">
        <f t="shared" si="4"/>
        <v>64.0625</v>
      </c>
      <c r="JT79" s="20">
        <v>41</v>
      </c>
      <c r="JV79" s="80">
        <v>6</v>
      </c>
      <c r="JW79" s="80">
        <v>98.8</v>
      </c>
      <c r="JX79" s="156">
        <f t="shared" si="5"/>
        <v>27.530364372469638</v>
      </c>
      <c r="JY79" s="20">
        <v>27.200000000000003</v>
      </c>
    </row>
    <row r="80" spans="27:285" x14ac:dyDescent="0.2">
      <c r="CK80" s="80">
        <v>8</v>
      </c>
      <c r="CL80" s="80">
        <v>16</v>
      </c>
      <c r="DB80" s="80">
        <v>12</v>
      </c>
      <c r="DC80" s="80">
        <v>207</v>
      </c>
      <c r="DE80" s="80">
        <v>12</v>
      </c>
      <c r="DF80" s="80">
        <v>114</v>
      </c>
      <c r="EJ80" s="80">
        <v>3</v>
      </c>
      <c r="EK80" s="80">
        <v>0</v>
      </c>
      <c r="EL80">
        <f t="shared" si="8"/>
        <v>0</v>
      </c>
      <c r="EM80">
        <v>0</v>
      </c>
      <c r="GD80" s="156">
        <v>21</v>
      </c>
      <c r="GE80" s="20">
        <v>23.4</v>
      </c>
      <c r="GF80" s="156">
        <v>18</v>
      </c>
      <c r="GG80" s="20">
        <v>34.9</v>
      </c>
      <c r="GH80" s="156">
        <v>18</v>
      </c>
      <c r="GI80" s="20">
        <v>30.9</v>
      </c>
      <c r="GJ80" s="156">
        <v>18</v>
      </c>
      <c r="GK80" s="20">
        <v>27.7</v>
      </c>
      <c r="GT80" s="80">
        <v>18</v>
      </c>
      <c r="GU80" s="80">
        <v>37.5</v>
      </c>
      <c r="GV80" s="80">
        <v>18</v>
      </c>
      <c r="GW80" s="80">
        <v>44.8</v>
      </c>
      <c r="GX80" s="80">
        <v>18</v>
      </c>
      <c r="GY80" s="80">
        <v>36.1</v>
      </c>
      <c r="GZ80" s="80">
        <v>18</v>
      </c>
      <c r="HA80" s="80">
        <v>39.299999999999997</v>
      </c>
      <c r="HR80" t="s">
        <v>342</v>
      </c>
      <c r="HS80" t="s">
        <v>414</v>
      </c>
      <c r="IE80" t="s">
        <v>488</v>
      </c>
      <c r="IF80" t="s">
        <v>381</v>
      </c>
      <c r="IT80" t="s">
        <v>342</v>
      </c>
      <c r="IU80" t="s">
        <v>414</v>
      </c>
      <c r="JB80" s="80">
        <v>8</v>
      </c>
      <c r="JC80" s="80">
        <v>49.8</v>
      </c>
      <c r="JD80" s="156">
        <f t="shared" si="6"/>
        <v>29.919678714859437</v>
      </c>
      <c r="JE80" s="80">
        <f t="shared" si="7"/>
        <v>14.899999999999999</v>
      </c>
      <c r="JQ80" s="80">
        <v>8</v>
      </c>
      <c r="JR80" s="80">
        <v>47.7</v>
      </c>
      <c r="JS80" s="156">
        <f t="shared" si="4"/>
        <v>67.714884696016753</v>
      </c>
      <c r="JT80" s="20">
        <v>32.299999999999997</v>
      </c>
      <c r="JV80" s="80">
        <v>8</v>
      </c>
      <c r="JW80" s="80">
        <v>64.3</v>
      </c>
      <c r="JX80" s="156">
        <f t="shared" si="5"/>
        <v>31.104199066874028</v>
      </c>
      <c r="JY80" s="20">
        <v>20</v>
      </c>
    </row>
    <row r="81" spans="27:285" x14ac:dyDescent="0.2">
      <c r="CK81" s="80">
        <v>12</v>
      </c>
      <c r="CL81" s="80">
        <v>6.25</v>
      </c>
      <c r="DB81" s="80">
        <v>14</v>
      </c>
      <c r="DC81" s="80">
        <v>206</v>
      </c>
      <c r="DE81" s="80">
        <v>14</v>
      </c>
      <c r="DF81" s="80">
        <v>109</v>
      </c>
      <c r="EJ81" s="80">
        <v>3.5</v>
      </c>
      <c r="EK81" s="80">
        <v>0</v>
      </c>
      <c r="EL81">
        <f t="shared" si="8"/>
        <v>0</v>
      </c>
      <c r="EM81">
        <v>0</v>
      </c>
      <c r="GD81" s="156">
        <v>24</v>
      </c>
      <c r="GE81" s="20">
        <v>17.600000000000001</v>
      </c>
      <c r="GF81" s="156">
        <v>21</v>
      </c>
      <c r="GG81" s="20">
        <v>18.899999999999999</v>
      </c>
      <c r="GH81" s="156">
        <v>21</v>
      </c>
      <c r="GI81" s="20">
        <v>19.600000000000001</v>
      </c>
      <c r="GJ81" s="156">
        <v>21</v>
      </c>
      <c r="GK81" s="20">
        <v>14.9</v>
      </c>
      <c r="GT81" s="80">
        <v>21</v>
      </c>
      <c r="GU81" s="80">
        <v>31</v>
      </c>
      <c r="GV81" s="80">
        <v>21</v>
      </c>
      <c r="GW81" s="80">
        <v>33.5</v>
      </c>
      <c r="GX81" s="80">
        <v>21</v>
      </c>
      <c r="GY81" s="80">
        <v>28.6</v>
      </c>
      <c r="GZ81" s="80">
        <v>21</v>
      </c>
      <c r="HA81" s="80">
        <v>29.7</v>
      </c>
      <c r="HR81" s="80">
        <v>1</v>
      </c>
      <c r="HS81" s="80">
        <v>13.9</v>
      </c>
      <c r="HT81" s="80">
        <v>1</v>
      </c>
      <c r="HU81" s="80">
        <v>27.8</v>
      </c>
      <c r="HV81" s="80">
        <v>1</v>
      </c>
      <c r="HW81" s="80">
        <v>73.2</v>
      </c>
      <c r="HX81" s="80">
        <v>1</v>
      </c>
      <c r="HY81" s="20">
        <f>0.2674*HS81</f>
        <v>3.7168600000000005</v>
      </c>
      <c r="HZ81" s="80">
        <v>1</v>
      </c>
      <c r="IA81" s="20">
        <f>0.2674*HU81</f>
        <v>7.433720000000001</v>
      </c>
      <c r="IB81" s="80">
        <v>1</v>
      </c>
      <c r="IC81" s="20">
        <f>0.2674*HW81</f>
        <v>19.573680000000003</v>
      </c>
      <c r="IE81" t="s">
        <v>342</v>
      </c>
      <c r="IF81" t="s">
        <v>414</v>
      </c>
      <c r="IT81" s="80">
        <v>1</v>
      </c>
      <c r="IU81" s="80">
        <v>4.12</v>
      </c>
      <c r="IV81" s="80">
        <v>1</v>
      </c>
      <c r="IW81" s="80">
        <v>7.99</v>
      </c>
      <c r="IX81" s="80">
        <v>1</v>
      </c>
      <c r="IY81" s="20">
        <f>0.2674*IU81</f>
        <v>1.1016880000000002</v>
      </c>
      <c r="IZ81" s="80">
        <v>1</v>
      </c>
      <c r="JA81" s="20">
        <f>0.2674*IW81</f>
        <v>2.1365260000000004</v>
      </c>
      <c r="JB81" s="80">
        <v>10</v>
      </c>
      <c r="JC81" s="80">
        <v>38.1</v>
      </c>
      <c r="JD81" s="156">
        <f t="shared" si="6"/>
        <v>33.333333333333343</v>
      </c>
      <c r="JE81" s="80">
        <f t="shared" si="7"/>
        <v>12.700000000000003</v>
      </c>
      <c r="JQ81" s="80">
        <v>12</v>
      </c>
      <c r="JR81" s="80">
        <v>27.1</v>
      </c>
      <c r="JS81" s="156">
        <f t="shared" si="4"/>
        <v>93.726937269372684</v>
      </c>
      <c r="JT81" s="20">
        <v>25.4</v>
      </c>
      <c r="JV81" s="80">
        <v>12</v>
      </c>
      <c r="JW81" s="80">
        <v>40.799999999999997</v>
      </c>
      <c r="JX81" s="156">
        <f t="shared" si="5"/>
        <v>33.823529411764717</v>
      </c>
      <c r="JY81" s="20">
        <v>13.800000000000004</v>
      </c>
    </row>
    <row r="82" spans="27:285" x14ac:dyDescent="0.2">
      <c r="AJ82" t="s">
        <v>342</v>
      </c>
      <c r="AL82" t="s">
        <v>414</v>
      </c>
      <c r="AN82" s="80" t="s">
        <v>342</v>
      </c>
      <c r="AO82" s="80"/>
      <c r="AP82" s="80" t="s">
        <v>414</v>
      </c>
      <c r="AR82" s="80" t="s">
        <v>342</v>
      </c>
      <c r="AS82" s="80"/>
      <c r="AT82" s="80" t="s">
        <v>414</v>
      </c>
      <c r="AV82" s="80" t="s">
        <v>342</v>
      </c>
      <c r="AW82" s="80"/>
      <c r="AX82" s="80" t="s">
        <v>414</v>
      </c>
      <c r="CK82" s="80">
        <v>18</v>
      </c>
      <c r="CL82" s="80">
        <v>2.78</v>
      </c>
      <c r="DB82" s="80">
        <v>20</v>
      </c>
      <c r="DC82" s="80">
        <v>163</v>
      </c>
      <c r="DE82" s="80">
        <v>20</v>
      </c>
      <c r="DF82" s="80">
        <v>79.099999999999994</v>
      </c>
      <c r="EJ82" s="80">
        <v>4</v>
      </c>
      <c r="EK82" s="80">
        <v>3.73</v>
      </c>
      <c r="EL82">
        <f t="shared" si="8"/>
        <v>186.5</v>
      </c>
      <c r="EM82">
        <v>186.5</v>
      </c>
      <c r="GD82" s="156">
        <v>28</v>
      </c>
      <c r="GE82" s="20">
        <v>9.01</v>
      </c>
      <c r="GF82" s="156">
        <v>24</v>
      </c>
      <c r="GG82" s="20">
        <v>12.6</v>
      </c>
      <c r="GH82" s="156">
        <v>24</v>
      </c>
      <c r="GI82" s="20">
        <v>13.1</v>
      </c>
      <c r="GJ82" s="156">
        <v>24</v>
      </c>
      <c r="GK82" s="20">
        <v>8.7799999999999994</v>
      </c>
      <c r="GT82" s="80">
        <v>24</v>
      </c>
      <c r="GU82" s="80">
        <v>26.6</v>
      </c>
      <c r="GV82" s="80">
        <v>24</v>
      </c>
      <c r="GW82" s="80">
        <v>24.1</v>
      </c>
      <c r="GX82" s="80">
        <v>24</v>
      </c>
      <c r="GY82" s="80">
        <v>21</v>
      </c>
      <c r="GZ82" s="80">
        <v>24</v>
      </c>
      <c r="HA82" s="80">
        <v>20.5</v>
      </c>
      <c r="HR82" s="80">
        <v>2</v>
      </c>
      <c r="HS82" s="80">
        <v>30.4</v>
      </c>
      <c r="HT82" s="80">
        <v>2</v>
      </c>
      <c r="HU82" s="80">
        <v>73.2</v>
      </c>
      <c r="HV82" s="80">
        <v>2</v>
      </c>
      <c r="HW82" s="80">
        <v>131</v>
      </c>
      <c r="HX82" s="80">
        <v>2</v>
      </c>
      <c r="HY82" s="20">
        <f t="shared" ref="HY82:HY91" si="9">0.2674*HS82</f>
        <v>8.1289600000000011</v>
      </c>
      <c r="HZ82" s="80">
        <v>2</v>
      </c>
      <c r="IA82" s="20">
        <f t="shared" ref="IA82:IA91" si="10">0.2674*HU82</f>
        <v>19.573680000000003</v>
      </c>
      <c r="IB82" s="80">
        <v>2</v>
      </c>
      <c r="IC82" s="20">
        <f t="shared" ref="IC82:IC91" si="11">0.2674*HW82</f>
        <v>35.029400000000003</v>
      </c>
      <c r="IE82" s="80">
        <v>0.25</v>
      </c>
      <c r="IF82" s="80">
        <v>9.0399999999999991</v>
      </c>
      <c r="IG82" s="80">
        <v>0.25</v>
      </c>
      <c r="IH82" s="80">
        <v>7.26</v>
      </c>
      <c r="II82" s="80">
        <v>0.25</v>
      </c>
      <c r="IJ82" s="80">
        <v>9.0500000000000007</v>
      </c>
      <c r="IK82" s="80">
        <v>0.25</v>
      </c>
      <c r="IL82" s="80">
        <v>3.68</v>
      </c>
      <c r="IM82" s="80"/>
      <c r="IO82" s="80"/>
      <c r="IQ82" s="80"/>
      <c r="IS82" s="80"/>
      <c r="IT82" s="80">
        <v>2</v>
      </c>
      <c r="IU82" s="80">
        <v>21.2</v>
      </c>
      <c r="IV82" s="80">
        <v>2</v>
      </c>
      <c r="IW82" s="80">
        <v>30.3</v>
      </c>
      <c r="IX82" s="80">
        <v>2</v>
      </c>
      <c r="IY82" s="20">
        <f t="shared" ref="IY82:IY91" si="12">0.2674*IU82</f>
        <v>5.6688800000000006</v>
      </c>
      <c r="IZ82" s="80">
        <v>2</v>
      </c>
      <c r="JA82" s="20">
        <f t="shared" ref="JA82:JA91" si="13">0.2674*IW82</f>
        <v>8.1022200000000009</v>
      </c>
      <c r="JB82" s="80">
        <v>12</v>
      </c>
      <c r="JC82" s="80">
        <v>28.2</v>
      </c>
      <c r="JD82" s="156">
        <f t="shared" si="6"/>
        <v>36.524822695035468</v>
      </c>
      <c r="JE82" s="80">
        <f t="shared" si="7"/>
        <v>10.3</v>
      </c>
      <c r="JQ82" s="80">
        <v>24</v>
      </c>
      <c r="JR82" s="80">
        <v>5.22</v>
      </c>
      <c r="JS82" s="156">
        <f t="shared" si="4"/>
        <v>106.89655172413796</v>
      </c>
      <c r="JT82" s="20">
        <v>5.580000000000001</v>
      </c>
      <c r="JV82" s="80">
        <v>24</v>
      </c>
      <c r="JW82" s="80">
        <v>14.5</v>
      </c>
      <c r="JX82" s="156">
        <f t="shared" si="5"/>
        <v>47.586206896551708</v>
      </c>
      <c r="JY82" s="20">
        <v>6.8999999999999986</v>
      </c>
    </row>
    <row r="83" spans="27:285" x14ac:dyDescent="0.2">
      <c r="AJ83" s="80"/>
      <c r="AK83" s="80"/>
      <c r="AL83" s="80"/>
      <c r="AN83" s="80"/>
      <c r="AO83" s="80"/>
      <c r="AP83" s="80"/>
      <c r="AR83" s="80">
        <v>0.314</v>
      </c>
      <c r="AS83" s="80"/>
      <c r="AT83" s="80">
        <v>1.67</v>
      </c>
      <c r="AV83" s="80">
        <v>0.129</v>
      </c>
      <c r="AW83" s="80"/>
      <c r="AX83" s="80">
        <v>4.51</v>
      </c>
      <c r="CK83" s="80">
        <v>24</v>
      </c>
      <c r="CL83" s="80">
        <v>1.84</v>
      </c>
      <c r="DB83" s="80">
        <v>24</v>
      </c>
      <c r="DC83" s="80">
        <v>131</v>
      </c>
      <c r="DE83" s="80">
        <v>24</v>
      </c>
      <c r="DF83" s="80">
        <v>68.099999999999994</v>
      </c>
      <c r="EJ83" s="80">
        <v>4.5</v>
      </c>
      <c r="EK83" s="80">
        <v>4.24</v>
      </c>
      <c r="EL83">
        <f t="shared" si="8"/>
        <v>212</v>
      </c>
      <c r="EM83">
        <v>212</v>
      </c>
      <c r="GD83" s="156">
        <v>32</v>
      </c>
      <c r="GE83" s="20">
        <v>6.31</v>
      </c>
      <c r="GF83" s="156">
        <v>28</v>
      </c>
      <c r="GG83" s="20">
        <v>4.95</v>
      </c>
      <c r="GH83" s="156">
        <v>28</v>
      </c>
      <c r="GI83" s="20">
        <v>2.7</v>
      </c>
      <c r="GJ83" s="156">
        <v>28</v>
      </c>
      <c r="GK83" s="20">
        <v>2.7</v>
      </c>
      <c r="GT83" s="80">
        <v>28</v>
      </c>
      <c r="GU83" s="80">
        <v>20.6</v>
      </c>
      <c r="GV83" s="80">
        <v>28</v>
      </c>
      <c r="GW83" s="80">
        <v>15.9</v>
      </c>
      <c r="GX83" s="80">
        <v>28</v>
      </c>
      <c r="GY83" s="80">
        <v>11.1</v>
      </c>
      <c r="GZ83" s="80">
        <v>28</v>
      </c>
      <c r="HA83" s="80">
        <v>12.9</v>
      </c>
      <c r="HR83" s="80">
        <v>3</v>
      </c>
      <c r="HS83" s="80">
        <v>38.700000000000003</v>
      </c>
      <c r="HT83" s="80">
        <v>3</v>
      </c>
      <c r="HU83" s="80">
        <v>89.2</v>
      </c>
      <c r="HV83" s="80">
        <v>3</v>
      </c>
      <c r="HW83" s="80">
        <v>187</v>
      </c>
      <c r="HX83" s="80">
        <v>3</v>
      </c>
      <c r="HY83" s="20">
        <f t="shared" si="9"/>
        <v>10.348380000000002</v>
      </c>
      <c r="HZ83" s="80">
        <v>3</v>
      </c>
      <c r="IA83" s="20">
        <f t="shared" si="10"/>
        <v>23.852080000000004</v>
      </c>
      <c r="IB83" s="80">
        <v>3</v>
      </c>
      <c r="IC83" s="20">
        <f t="shared" si="11"/>
        <v>50.003800000000005</v>
      </c>
      <c r="IE83" s="80">
        <v>0.5</v>
      </c>
      <c r="IF83" s="80">
        <v>796</v>
      </c>
      <c r="IG83" s="80">
        <v>0.5</v>
      </c>
      <c r="IH83" s="80">
        <v>195</v>
      </c>
      <c r="II83" s="80">
        <v>0.5</v>
      </c>
      <c r="IJ83" s="80">
        <v>5.47</v>
      </c>
      <c r="IK83" s="80">
        <v>0.5</v>
      </c>
      <c r="IL83" s="80">
        <v>133</v>
      </c>
      <c r="IM83" s="80"/>
      <c r="IO83" s="80"/>
      <c r="IQ83" s="80"/>
      <c r="IS83" s="80"/>
      <c r="IT83" s="80">
        <v>3</v>
      </c>
      <c r="IU83" s="80">
        <v>34.200000000000003</v>
      </c>
      <c r="IV83" s="80">
        <v>3</v>
      </c>
      <c r="IW83" s="80">
        <v>42</v>
      </c>
      <c r="IX83" s="80">
        <v>3</v>
      </c>
      <c r="IY83" s="20">
        <f t="shared" si="12"/>
        <v>9.1450800000000019</v>
      </c>
      <c r="IZ83" s="80">
        <v>3</v>
      </c>
      <c r="JA83" s="20">
        <f t="shared" si="13"/>
        <v>11.2308</v>
      </c>
      <c r="JB83" s="80">
        <v>24</v>
      </c>
      <c r="JC83" s="80">
        <v>6.28</v>
      </c>
      <c r="JD83" s="156">
        <f t="shared" si="6"/>
        <v>35.668789808917197</v>
      </c>
      <c r="JE83" s="80">
        <f t="shared" si="7"/>
        <v>2.2400000000000002</v>
      </c>
      <c r="JQ83" s="80">
        <v>36</v>
      </c>
      <c r="JR83" s="80">
        <v>0.69599999999999995</v>
      </c>
      <c r="JS83" s="156">
        <f t="shared" si="4"/>
        <v>150</v>
      </c>
      <c r="JT83" s="20">
        <v>1.044</v>
      </c>
      <c r="JV83" s="80">
        <v>36</v>
      </c>
      <c r="JW83" s="80">
        <v>5.53</v>
      </c>
      <c r="JX83" s="156">
        <f t="shared" si="5"/>
        <v>37.432188065099439</v>
      </c>
      <c r="JY83" s="20">
        <v>2.0699999999999994</v>
      </c>
    </row>
    <row r="84" spans="27:285" x14ac:dyDescent="0.2">
      <c r="AJ84" s="80"/>
      <c r="AK84" s="80"/>
      <c r="AL84" s="80"/>
      <c r="AN84" s="80"/>
      <c r="AO84" s="80"/>
      <c r="AP84" s="80"/>
      <c r="AR84" s="80">
        <v>0.443</v>
      </c>
      <c r="AS84" s="80"/>
      <c r="AT84" s="80">
        <v>5.22</v>
      </c>
      <c r="AV84" s="80">
        <v>0.24299999999999999</v>
      </c>
      <c r="AW84" s="80"/>
      <c r="AX84" s="80">
        <v>16.5</v>
      </c>
      <c r="CK84" s="80">
        <v>30</v>
      </c>
      <c r="CL84" s="80">
        <v>0.72399999999999998</v>
      </c>
      <c r="EJ84" s="80">
        <v>5.5</v>
      </c>
      <c r="EK84" s="80">
        <v>4.8600000000000003</v>
      </c>
      <c r="EL84">
        <f t="shared" si="8"/>
        <v>243.00000000000003</v>
      </c>
      <c r="EM84">
        <v>243.00000000000003</v>
      </c>
      <c r="GD84" s="80">
        <v>0</v>
      </c>
      <c r="GE84" s="80">
        <v>0</v>
      </c>
      <c r="GF84" s="156">
        <v>32</v>
      </c>
      <c r="GG84" s="20">
        <v>1.8</v>
      </c>
      <c r="GH84" s="156">
        <v>32</v>
      </c>
      <c r="GI84" s="20">
        <v>1.35</v>
      </c>
      <c r="GJ84" s="156">
        <v>32</v>
      </c>
      <c r="GK84" s="20">
        <v>1.35</v>
      </c>
      <c r="GT84" s="80">
        <v>32</v>
      </c>
      <c r="GU84" s="80">
        <v>12.3</v>
      </c>
      <c r="GV84" s="80">
        <v>32</v>
      </c>
      <c r="GW84" s="80">
        <v>8.92</v>
      </c>
      <c r="GX84" s="80">
        <v>32</v>
      </c>
      <c r="GY84" s="80">
        <v>7.56</v>
      </c>
      <c r="GZ84" s="80">
        <v>32</v>
      </c>
      <c r="HA84" s="80">
        <v>8.24</v>
      </c>
      <c r="HR84" s="80">
        <v>4</v>
      </c>
      <c r="HS84" s="80">
        <v>53.1</v>
      </c>
      <c r="HT84" s="80">
        <v>4</v>
      </c>
      <c r="HU84" s="80">
        <v>125</v>
      </c>
      <c r="HV84" s="80">
        <v>4</v>
      </c>
      <c r="HW84" s="80">
        <v>228</v>
      </c>
      <c r="HX84" s="80">
        <v>4</v>
      </c>
      <c r="HY84" s="20">
        <f t="shared" si="9"/>
        <v>14.198940000000002</v>
      </c>
      <c r="HZ84" s="80">
        <v>4</v>
      </c>
      <c r="IA84" s="20">
        <f t="shared" si="10"/>
        <v>33.425000000000004</v>
      </c>
      <c r="IB84" s="80">
        <v>4</v>
      </c>
      <c r="IC84" s="20">
        <f t="shared" si="11"/>
        <v>60.967200000000005</v>
      </c>
      <c r="IE84" s="80">
        <v>0.75</v>
      </c>
      <c r="IF84" s="80">
        <v>936</v>
      </c>
      <c r="IG84" s="80">
        <v>0.75</v>
      </c>
      <c r="IH84" s="80">
        <v>240</v>
      </c>
      <c r="II84" s="80">
        <v>0.75</v>
      </c>
      <c r="IJ84" s="80">
        <v>106</v>
      </c>
      <c r="IK84" s="80">
        <v>0.75</v>
      </c>
      <c r="IL84" s="80">
        <v>242</v>
      </c>
      <c r="IM84" s="80"/>
      <c r="IO84" s="80"/>
      <c r="IQ84" s="80"/>
      <c r="IS84" s="80"/>
      <c r="IT84" s="80">
        <v>4</v>
      </c>
      <c r="IU84" s="80">
        <v>47.9</v>
      </c>
      <c r="IV84" s="80">
        <v>4</v>
      </c>
      <c r="IW84" s="80">
        <v>57.7</v>
      </c>
      <c r="IX84" s="80">
        <v>4</v>
      </c>
      <c r="IY84" s="20">
        <f t="shared" si="12"/>
        <v>12.80846</v>
      </c>
      <c r="IZ84" s="80">
        <v>4</v>
      </c>
      <c r="JA84" s="20">
        <f t="shared" si="13"/>
        <v>15.428980000000003</v>
      </c>
      <c r="JB84" s="80">
        <v>0.25</v>
      </c>
      <c r="JC84" s="80">
        <v>0.93500000000000005</v>
      </c>
      <c r="JE84" s="80">
        <f>JC72-JC84</f>
        <v>3.6549999999999998</v>
      </c>
      <c r="JQ84" s="80">
        <v>48</v>
      </c>
      <c r="JR84" s="80">
        <v>0.34799999999999998</v>
      </c>
      <c r="JS84" s="156">
        <f t="shared" si="4"/>
        <v>198.85057471264369</v>
      </c>
      <c r="JT84" s="20">
        <v>0.69200000000000006</v>
      </c>
      <c r="JV84" s="80">
        <v>48</v>
      </c>
      <c r="JW84" s="80">
        <v>2.76</v>
      </c>
      <c r="JX84" s="156">
        <f t="shared" si="5"/>
        <v>25.362318840579718</v>
      </c>
      <c r="JY84" s="20">
        <v>0.70000000000000018</v>
      </c>
    </row>
    <row r="85" spans="27:285" x14ac:dyDescent="0.2">
      <c r="AJ85" s="80"/>
      <c r="AK85" s="80"/>
      <c r="AL85" s="80"/>
      <c r="AN85" s="80"/>
      <c r="AO85" s="80"/>
      <c r="AP85" s="80"/>
      <c r="AR85" s="80">
        <v>0.61399999999999999</v>
      </c>
      <c r="AS85" s="80"/>
      <c r="AT85" s="80">
        <v>5.99</v>
      </c>
      <c r="AV85" s="80">
        <v>0.45700000000000002</v>
      </c>
      <c r="AW85" s="80"/>
      <c r="AX85" s="80">
        <v>39.6</v>
      </c>
      <c r="CK85" s="80">
        <v>0</v>
      </c>
      <c r="CL85" s="80">
        <v>0.18</v>
      </c>
      <c r="EJ85" s="80">
        <v>6.5</v>
      </c>
      <c r="EK85" s="80">
        <v>3.86</v>
      </c>
      <c r="EL85">
        <f t="shared" si="8"/>
        <v>193</v>
      </c>
      <c r="EM85">
        <v>193</v>
      </c>
      <c r="GD85" s="80">
        <v>2</v>
      </c>
      <c r="GE85" s="80">
        <v>26.6</v>
      </c>
      <c r="HR85" s="80">
        <v>5</v>
      </c>
      <c r="HS85" s="80">
        <v>57.7</v>
      </c>
      <c r="HT85" s="80">
        <v>5</v>
      </c>
      <c r="HU85" s="80">
        <v>127</v>
      </c>
      <c r="HV85" s="80">
        <v>5</v>
      </c>
      <c r="HW85" s="80">
        <v>228</v>
      </c>
      <c r="HX85" s="80">
        <v>5</v>
      </c>
      <c r="HY85" s="20">
        <f t="shared" si="9"/>
        <v>15.428980000000003</v>
      </c>
      <c r="HZ85" s="80">
        <v>5</v>
      </c>
      <c r="IA85" s="20">
        <f t="shared" si="10"/>
        <v>33.959800000000001</v>
      </c>
      <c r="IB85" s="80">
        <v>5</v>
      </c>
      <c r="IC85" s="20">
        <f t="shared" si="11"/>
        <v>60.967200000000005</v>
      </c>
      <c r="IE85" s="80">
        <v>2</v>
      </c>
      <c r="IF85" s="80">
        <v>993</v>
      </c>
      <c r="IG85" s="80">
        <v>2</v>
      </c>
      <c r="IH85" s="80">
        <v>378</v>
      </c>
      <c r="II85" s="80">
        <v>2</v>
      </c>
      <c r="IJ85" s="80">
        <v>199</v>
      </c>
      <c r="IK85" s="80">
        <v>2</v>
      </c>
      <c r="IL85" s="80">
        <v>375</v>
      </c>
      <c r="IM85" s="80"/>
      <c r="IO85" s="80"/>
      <c r="IQ85" s="80"/>
      <c r="IS85" s="80"/>
      <c r="IT85" s="80">
        <v>5</v>
      </c>
      <c r="IU85" s="80">
        <v>50</v>
      </c>
      <c r="IV85" s="80">
        <v>5</v>
      </c>
      <c r="IW85" s="80">
        <v>57.3</v>
      </c>
      <c r="IX85" s="80">
        <v>5</v>
      </c>
      <c r="IY85" s="20">
        <f t="shared" si="12"/>
        <v>13.370000000000001</v>
      </c>
      <c r="IZ85" s="80">
        <v>5</v>
      </c>
      <c r="JA85" s="20">
        <f t="shared" si="13"/>
        <v>15.32202</v>
      </c>
      <c r="JB85" s="80">
        <v>0.5</v>
      </c>
      <c r="JC85" s="80">
        <v>2.5</v>
      </c>
      <c r="JE85" s="80">
        <f t="shared" ref="JE85:JE95" si="14">JC73-JC85</f>
        <v>63</v>
      </c>
      <c r="JQ85" s="80">
        <v>0</v>
      </c>
      <c r="JR85" s="80">
        <v>0</v>
      </c>
      <c r="JS85" s="80">
        <f>JR85-JR69</f>
        <v>0</v>
      </c>
      <c r="JV85" s="80">
        <v>0</v>
      </c>
      <c r="JW85" s="80">
        <v>4.1500000000000004</v>
      </c>
      <c r="JX85" s="80">
        <f>JW85-JW69</f>
        <v>4.1500000000000004</v>
      </c>
    </row>
    <row r="86" spans="27:285" x14ac:dyDescent="0.2">
      <c r="AJ86" s="80" t="s">
        <v>415</v>
      </c>
      <c r="AK86" s="80"/>
      <c r="AL86" s="80" t="s">
        <v>396</v>
      </c>
      <c r="AN86" s="80"/>
      <c r="AO86" s="80"/>
      <c r="AP86" s="80"/>
      <c r="AR86" s="80">
        <v>0.75</v>
      </c>
      <c r="AS86" s="80"/>
      <c r="AT86" s="80">
        <v>6.94</v>
      </c>
      <c r="AV86" s="80">
        <v>0.61399999999999999</v>
      </c>
      <c r="AW86" s="80"/>
      <c r="AX86" s="80">
        <v>63.8</v>
      </c>
      <c r="CK86" s="80">
        <v>0.65800000000000003</v>
      </c>
      <c r="CL86" s="80">
        <v>6.5</v>
      </c>
      <c r="EJ86" s="80">
        <v>7.5</v>
      </c>
      <c r="EK86" s="80">
        <v>2.68</v>
      </c>
      <c r="EL86">
        <f t="shared" si="8"/>
        <v>134</v>
      </c>
      <c r="EM86">
        <v>134</v>
      </c>
      <c r="GD86" s="80">
        <v>3</v>
      </c>
      <c r="GE86" s="80">
        <v>38.700000000000003</v>
      </c>
      <c r="HR86" s="80">
        <v>6</v>
      </c>
      <c r="HS86" s="80">
        <v>67.5</v>
      </c>
      <c r="HT86" s="80">
        <v>6</v>
      </c>
      <c r="HU86" s="80">
        <v>132</v>
      </c>
      <c r="HV86" s="80">
        <v>6</v>
      </c>
      <c r="HW86" s="80">
        <v>239</v>
      </c>
      <c r="HX86" s="80">
        <v>6</v>
      </c>
      <c r="HY86" s="20">
        <f t="shared" si="9"/>
        <v>18.049500000000002</v>
      </c>
      <c r="HZ86" s="80">
        <v>6</v>
      </c>
      <c r="IA86" s="20">
        <f t="shared" si="10"/>
        <v>35.296800000000005</v>
      </c>
      <c r="IB86" s="80">
        <v>6</v>
      </c>
      <c r="IC86" s="20">
        <f t="shared" si="11"/>
        <v>63.908600000000007</v>
      </c>
      <c r="IE86" s="80">
        <v>3</v>
      </c>
      <c r="IF86" s="80">
        <v>892</v>
      </c>
      <c r="IG86" s="80">
        <v>3</v>
      </c>
      <c r="IH86" s="80">
        <v>504</v>
      </c>
      <c r="II86" s="80">
        <v>3</v>
      </c>
      <c r="IJ86" s="80">
        <v>294</v>
      </c>
      <c r="IK86" s="80">
        <v>3</v>
      </c>
      <c r="IL86" s="80">
        <v>471</v>
      </c>
      <c r="IM86" s="80"/>
      <c r="IO86" s="80"/>
      <c r="IQ86" s="80"/>
      <c r="IS86" s="80"/>
      <c r="IT86" s="80">
        <v>6</v>
      </c>
      <c r="IU86" s="80">
        <v>50</v>
      </c>
      <c r="IV86" s="80">
        <v>6</v>
      </c>
      <c r="IW86" s="80">
        <v>55.5</v>
      </c>
      <c r="IX86" s="80">
        <v>6</v>
      </c>
      <c r="IY86" s="20">
        <f t="shared" si="12"/>
        <v>13.370000000000001</v>
      </c>
      <c r="IZ86" s="80">
        <v>6</v>
      </c>
      <c r="JA86" s="20">
        <f t="shared" si="13"/>
        <v>14.840700000000002</v>
      </c>
      <c r="JB86" s="80">
        <v>0.75</v>
      </c>
      <c r="JC86" s="80">
        <v>35.1</v>
      </c>
      <c r="JE86" s="80">
        <f t="shared" si="14"/>
        <v>68.900000000000006</v>
      </c>
      <c r="JQ86" s="80">
        <v>0.25</v>
      </c>
      <c r="JR86" s="80">
        <v>18.100000000000001</v>
      </c>
      <c r="JS86" s="80">
        <f t="shared" ref="JS86:JS95" si="15">JR86-JR70</f>
        <v>11.14</v>
      </c>
      <c r="JV86" s="80">
        <v>0.25</v>
      </c>
      <c r="JW86" s="80">
        <v>17.3</v>
      </c>
      <c r="JX86" s="80">
        <f t="shared" ref="JX86:JX95" si="16">JW86-JW70</f>
        <v>11.080000000000002</v>
      </c>
    </row>
    <row r="87" spans="27:285" x14ac:dyDescent="0.2">
      <c r="AJ87" s="80">
        <v>0.17899999999999999</v>
      </c>
      <c r="AK87" s="80"/>
      <c r="AL87" s="80">
        <v>21.5</v>
      </c>
      <c r="AN87" s="80">
        <v>9.1200000000000003E-2</v>
      </c>
      <c r="AO87" s="80"/>
      <c r="AP87" s="80">
        <v>14.7</v>
      </c>
      <c r="AR87" s="80">
        <v>1</v>
      </c>
      <c r="AS87" s="80"/>
      <c r="AT87" s="80">
        <v>7.17</v>
      </c>
      <c r="AV87" s="80">
        <v>0.75</v>
      </c>
      <c r="AW87" s="80"/>
      <c r="AX87" s="80">
        <v>80.599999999999994</v>
      </c>
      <c r="CK87" s="80">
        <v>1</v>
      </c>
      <c r="CL87" s="80">
        <v>39.700000000000003</v>
      </c>
      <c r="EJ87" s="80">
        <v>9.5</v>
      </c>
      <c r="EK87" s="80">
        <v>1.05</v>
      </c>
      <c r="EL87">
        <f t="shared" si="8"/>
        <v>52.5</v>
      </c>
      <c r="EM87">
        <v>52.5</v>
      </c>
      <c r="GD87" s="80">
        <v>4</v>
      </c>
      <c r="GE87" s="80">
        <v>49.5</v>
      </c>
      <c r="HR87" s="80">
        <v>8</v>
      </c>
      <c r="HS87" s="80">
        <v>59.8</v>
      </c>
      <c r="HT87" s="80">
        <v>8</v>
      </c>
      <c r="HU87" s="80">
        <v>127</v>
      </c>
      <c r="HV87" s="80">
        <v>8</v>
      </c>
      <c r="HW87" s="80">
        <v>233</v>
      </c>
      <c r="HX87" s="80">
        <v>8</v>
      </c>
      <c r="HY87" s="20">
        <f t="shared" si="9"/>
        <v>15.99052</v>
      </c>
      <c r="HZ87" s="80">
        <v>8</v>
      </c>
      <c r="IA87" s="20">
        <f t="shared" si="10"/>
        <v>33.959800000000001</v>
      </c>
      <c r="IB87" s="80">
        <v>8</v>
      </c>
      <c r="IC87" s="20">
        <f t="shared" si="11"/>
        <v>62.304200000000009</v>
      </c>
      <c r="IE87" s="80">
        <v>4</v>
      </c>
      <c r="IF87" s="80">
        <v>699</v>
      </c>
      <c r="IG87" s="80">
        <v>4</v>
      </c>
      <c r="IH87" s="80">
        <v>613</v>
      </c>
      <c r="II87" s="80">
        <v>4</v>
      </c>
      <c r="IJ87" s="80">
        <v>391</v>
      </c>
      <c r="IK87" s="80">
        <v>4</v>
      </c>
      <c r="IL87" s="80">
        <v>482</v>
      </c>
      <c r="IM87" s="80"/>
      <c r="IO87" s="80"/>
      <c r="IQ87" s="80"/>
      <c r="IS87" s="80"/>
      <c r="IT87" s="80">
        <v>8</v>
      </c>
      <c r="IU87" s="80">
        <v>58.2</v>
      </c>
      <c r="IV87" s="80">
        <v>8</v>
      </c>
      <c r="IW87" s="80">
        <v>61.4</v>
      </c>
      <c r="IX87" s="80">
        <v>8</v>
      </c>
      <c r="IY87" s="20">
        <f t="shared" si="12"/>
        <v>15.562680000000002</v>
      </c>
      <c r="IZ87" s="80">
        <v>8</v>
      </c>
      <c r="JA87" s="20">
        <f t="shared" si="13"/>
        <v>16.41836</v>
      </c>
      <c r="JB87" s="80">
        <v>1</v>
      </c>
      <c r="JC87" s="80">
        <v>77.7</v>
      </c>
      <c r="JE87" s="80">
        <f t="shared" si="14"/>
        <v>51.3</v>
      </c>
      <c r="JQ87" s="80">
        <v>0.5</v>
      </c>
      <c r="JR87" s="80">
        <v>40</v>
      </c>
      <c r="JS87" s="80">
        <f t="shared" si="15"/>
        <v>10.100000000000001</v>
      </c>
      <c r="JV87" s="80">
        <v>0.5</v>
      </c>
      <c r="JW87" s="80">
        <v>49.8</v>
      </c>
      <c r="JX87" s="80">
        <f t="shared" si="16"/>
        <v>24.9</v>
      </c>
    </row>
    <row r="88" spans="27:285" x14ac:dyDescent="0.2">
      <c r="AJ88" s="80">
        <v>0.20300000000000001</v>
      </c>
      <c r="AK88" s="80"/>
      <c r="AL88" s="80">
        <v>17</v>
      </c>
      <c r="AN88" s="80">
        <v>0.16500000000000001</v>
      </c>
      <c r="AO88" s="80"/>
      <c r="AP88" s="80">
        <v>16</v>
      </c>
      <c r="AR88" s="80">
        <v>1.25</v>
      </c>
      <c r="AS88" s="80"/>
      <c r="AT88" s="80">
        <v>5.47</v>
      </c>
      <c r="AV88" s="80">
        <v>1</v>
      </c>
      <c r="AW88" s="80"/>
      <c r="AX88" s="80">
        <v>92.6</v>
      </c>
      <c r="CK88" s="80">
        <v>1.5</v>
      </c>
      <c r="CL88" s="80">
        <v>69.5</v>
      </c>
      <c r="EJ88" s="80">
        <v>11.5</v>
      </c>
      <c r="EK88" s="80">
        <v>0.39800000000000002</v>
      </c>
      <c r="EL88">
        <f t="shared" si="8"/>
        <v>19.900000000000002</v>
      </c>
      <c r="EM88">
        <v>19.900000000000002</v>
      </c>
      <c r="GD88" s="80">
        <v>6</v>
      </c>
      <c r="GE88" s="80">
        <v>82.9</v>
      </c>
      <c r="HR88" s="80">
        <v>10</v>
      </c>
      <c r="HS88" s="80">
        <v>61.9</v>
      </c>
      <c r="HT88" s="80">
        <v>10</v>
      </c>
      <c r="HU88" s="80">
        <v>120</v>
      </c>
      <c r="HV88" s="80">
        <v>10</v>
      </c>
      <c r="HW88" s="80">
        <v>234</v>
      </c>
      <c r="HX88" s="80">
        <v>10</v>
      </c>
      <c r="HY88" s="20">
        <f t="shared" si="9"/>
        <v>16.552060000000001</v>
      </c>
      <c r="HZ88" s="80">
        <v>10</v>
      </c>
      <c r="IA88" s="20">
        <f t="shared" si="10"/>
        <v>32.088000000000001</v>
      </c>
      <c r="IB88" s="80">
        <v>10</v>
      </c>
      <c r="IC88" s="20">
        <f t="shared" si="11"/>
        <v>62.571600000000004</v>
      </c>
      <c r="IE88" s="80">
        <v>5</v>
      </c>
      <c r="IF88" s="80">
        <v>553</v>
      </c>
      <c r="IG88" s="80">
        <v>5</v>
      </c>
      <c r="IH88" s="80">
        <v>576</v>
      </c>
      <c r="II88" s="80">
        <v>5</v>
      </c>
      <c r="IJ88" s="80">
        <v>567</v>
      </c>
      <c r="IK88" s="80">
        <v>5</v>
      </c>
      <c r="IL88" s="80">
        <v>445</v>
      </c>
      <c r="IM88" s="80"/>
      <c r="IO88" s="80"/>
      <c r="IQ88" s="80"/>
      <c r="IS88" s="80"/>
      <c r="IT88" s="80">
        <v>10</v>
      </c>
      <c r="IU88" s="80">
        <v>54.4</v>
      </c>
      <c r="IV88" s="80">
        <v>10</v>
      </c>
      <c r="IW88" s="80">
        <v>65.599999999999994</v>
      </c>
      <c r="IX88" s="80">
        <v>10</v>
      </c>
      <c r="IY88" s="20">
        <f t="shared" si="12"/>
        <v>14.546560000000001</v>
      </c>
      <c r="IZ88" s="80">
        <v>10</v>
      </c>
      <c r="JA88" s="20">
        <f t="shared" si="13"/>
        <v>17.541440000000001</v>
      </c>
      <c r="JB88" s="80">
        <v>1.5</v>
      </c>
      <c r="JC88" s="80">
        <v>96.9</v>
      </c>
      <c r="JE88" s="80">
        <f t="shared" si="14"/>
        <v>39.099999999999994</v>
      </c>
      <c r="JQ88" s="80">
        <v>0.75</v>
      </c>
      <c r="JR88" s="80">
        <v>94.6</v>
      </c>
      <c r="JS88" s="80">
        <f t="shared" si="15"/>
        <v>37.199999999999996</v>
      </c>
      <c r="JV88" s="80">
        <v>0.75</v>
      </c>
      <c r="JW88" s="80">
        <v>105</v>
      </c>
      <c r="JX88" s="80">
        <f t="shared" si="16"/>
        <v>51.1</v>
      </c>
    </row>
    <row r="89" spans="27:285" x14ac:dyDescent="0.2">
      <c r="AJ89" s="80">
        <v>0.314</v>
      </c>
      <c r="AK89" s="80"/>
      <c r="AL89" s="80">
        <v>18</v>
      </c>
      <c r="AN89" s="80">
        <v>0.28999999999999998</v>
      </c>
      <c r="AO89" s="80"/>
      <c r="AP89" s="80">
        <v>20</v>
      </c>
      <c r="AR89" s="80">
        <v>1.5</v>
      </c>
      <c r="AS89" s="80"/>
      <c r="AT89" s="80">
        <v>5.41</v>
      </c>
      <c r="AV89" s="80">
        <v>1.25</v>
      </c>
      <c r="AW89" s="80"/>
      <c r="AX89" s="80">
        <v>99.9</v>
      </c>
      <c r="CK89" s="80">
        <v>2</v>
      </c>
      <c r="CL89" s="80">
        <v>92.3</v>
      </c>
      <c r="GD89" s="80">
        <v>8</v>
      </c>
      <c r="GE89" s="80">
        <v>79.7</v>
      </c>
      <c r="HR89" s="80">
        <v>12</v>
      </c>
      <c r="HS89" s="80">
        <v>60.3</v>
      </c>
      <c r="HT89" s="80">
        <v>12</v>
      </c>
      <c r="HU89" s="80">
        <v>122</v>
      </c>
      <c r="HV89" s="80">
        <v>12</v>
      </c>
      <c r="HW89" s="80">
        <v>232</v>
      </c>
      <c r="HX89" s="80">
        <v>12</v>
      </c>
      <c r="HY89" s="20">
        <f t="shared" si="9"/>
        <v>16.124220000000001</v>
      </c>
      <c r="HZ89" s="80">
        <v>12</v>
      </c>
      <c r="IA89" s="20">
        <f t="shared" si="10"/>
        <v>32.622800000000005</v>
      </c>
      <c r="IB89" s="80">
        <v>12</v>
      </c>
      <c r="IC89" s="20">
        <f t="shared" si="11"/>
        <v>62.036800000000007</v>
      </c>
      <c r="IE89" s="80">
        <v>6</v>
      </c>
      <c r="IF89" s="80">
        <v>501</v>
      </c>
      <c r="IG89" s="80">
        <v>6</v>
      </c>
      <c r="IH89" s="80">
        <v>549</v>
      </c>
      <c r="II89" s="80">
        <v>6</v>
      </c>
      <c r="IJ89" s="80">
        <v>560</v>
      </c>
      <c r="IK89" s="80">
        <v>6</v>
      </c>
      <c r="IL89" s="80">
        <v>422</v>
      </c>
      <c r="IM89" s="80"/>
      <c r="IO89" s="80"/>
      <c r="IQ89" s="80"/>
      <c r="IS89" s="80"/>
      <c r="IT89" s="80">
        <v>12</v>
      </c>
      <c r="IU89" s="80">
        <v>62</v>
      </c>
      <c r="IV89" s="80">
        <v>12</v>
      </c>
      <c r="IW89" s="80">
        <v>73.400000000000006</v>
      </c>
      <c r="IX89" s="80">
        <v>12</v>
      </c>
      <c r="IY89" s="20">
        <f t="shared" si="12"/>
        <v>16.578800000000001</v>
      </c>
      <c r="IZ89" s="80">
        <v>12</v>
      </c>
      <c r="JA89" s="20">
        <f t="shared" si="13"/>
        <v>19.627160000000003</v>
      </c>
      <c r="JB89" s="80">
        <v>2</v>
      </c>
      <c r="JC89" s="80">
        <v>92.2</v>
      </c>
      <c r="JE89" s="80">
        <f t="shared" si="14"/>
        <v>28.799999999999997</v>
      </c>
      <c r="JQ89" s="80">
        <v>1</v>
      </c>
      <c r="JR89" s="80">
        <v>101</v>
      </c>
      <c r="JS89" s="80">
        <f t="shared" si="15"/>
        <v>26.599999999999994</v>
      </c>
      <c r="JV89" s="80">
        <v>1</v>
      </c>
      <c r="JW89" s="80">
        <v>167</v>
      </c>
      <c r="JX89" s="80">
        <f t="shared" si="16"/>
        <v>68.2</v>
      </c>
    </row>
    <row r="90" spans="27:285" x14ac:dyDescent="0.2">
      <c r="AA90">
        <v>2735</v>
      </c>
      <c r="AB90">
        <f>0.2674*AA90</f>
        <v>731.33900000000006</v>
      </c>
      <c r="AJ90" s="80">
        <v>0.374</v>
      </c>
      <c r="AK90" s="80"/>
      <c r="AL90" s="80">
        <v>15</v>
      </c>
      <c r="AN90" s="80">
        <v>0.48799999999999999</v>
      </c>
      <c r="AO90" s="80"/>
      <c r="AP90" s="80">
        <v>26.2</v>
      </c>
      <c r="AR90" s="80">
        <v>1.75</v>
      </c>
      <c r="AS90" s="80"/>
      <c r="AT90" s="80">
        <v>4.8600000000000003</v>
      </c>
      <c r="AV90" s="80">
        <v>1.5</v>
      </c>
      <c r="AW90" s="80"/>
      <c r="AX90" s="80">
        <v>103</v>
      </c>
      <c r="CK90" s="80">
        <v>3</v>
      </c>
      <c r="CL90" s="80">
        <v>118</v>
      </c>
      <c r="GD90" s="80">
        <v>10</v>
      </c>
      <c r="GE90" s="80">
        <v>71.2</v>
      </c>
      <c r="HR90" s="80">
        <v>14</v>
      </c>
      <c r="HS90" s="80">
        <v>60.8</v>
      </c>
      <c r="HT90" s="80">
        <v>14</v>
      </c>
      <c r="HU90" s="80">
        <v>114</v>
      </c>
      <c r="HV90" s="80">
        <v>14</v>
      </c>
      <c r="HW90" s="80">
        <v>243</v>
      </c>
      <c r="HX90" s="80">
        <v>14</v>
      </c>
      <c r="HY90" s="20">
        <f t="shared" si="9"/>
        <v>16.257920000000002</v>
      </c>
      <c r="HZ90" s="80">
        <v>14</v>
      </c>
      <c r="IA90" s="20">
        <f t="shared" si="10"/>
        <v>30.483600000000003</v>
      </c>
      <c r="IB90" s="80">
        <v>14</v>
      </c>
      <c r="IC90" s="20">
        <f t="shared" si="11"/>
        <v>64.978200000000001</v>
      </c>
      <c r="IE90" s="80">
        <v>8</v>
      </c>
      <c r="IF90" s="80">
        <v>357</v>
      </c>
      <c r="IG90" s="80">
        <v>8</v>
      </c>
      <c r="IH90" s="80">
        <v>498</v>
      </c>
      <c r="II90" s="80">
        <v>8</v>
      </c>
      <c r="IJ90" s="80">
        <v>514</v>
      </c>
      <c r="IK90" s="80">
        <v>8</v>
      </c>
      <c r="IL90" s="80">
        <v>357</v>
      </c>
      <c r="IM90" s="80"/>
      <c r="IO90" s="80"/>
      <c r="IQ90" s="80"/>
      <c r="IS90" s="80"/>
      <c r="IT90" s="80">
        <v>14</v>
      </c>
      <c r="IU90" s="80">
        <v>65.400000000000006</v>
      </c>
      <c r="IV90" s="80">
        <v>14</v>
      </c>
      <c r="IW90" s="80">
        <v>78</v>
      </c>
      <c r="IX90" s="80">
        <v>14</v>
      </c>
      <c r="IY90" s="20">
        <f t="shared" si="12"/>
        <v>17.487960000000005</v>
      </c>
      <c r="IZ90" s="80">
        <v>14</v>
      </c>
      <c r="JA90" s="20">
        <f t="shared" si="13"/>
        <v>20.857200000000002</v>
      </c>
      <c r="JB90" s="80">
        <v>4</v>
      </c>
      <c r="JC90" s="80">
        <v>60.6</v>
      </c>
      <c r="JE90" s="80">
        <f t="shared" si="14"/>
        <v>16.199999999999996</v>
      </c>
      <c r="JQ90" s="80">
        <v>1.5</v>
      </c>
      <c r="JR90" s="80">
        <v>143</v>
      </c>
      <c r="JS90" s="80">
        <f t="shared" si="15"/>
        <v>39</v>
      </c>
      <c r="JV90" s="80">
        <v>1.5</v>
      </c>
      <c r="JW90" s="80">
        <v>248</v>
      </c>
      <c r="JX90" s="80">
        <f t="shared" si="16"/>
        <v>68</v>
      </c>
    </row>
    <row r="91" spans="27:285" x14ac:dyDescent="0.2">
      <c r="AJ91" s="80">
        <v>0.55800000000000005</v>
      </c>
      <c r="AK91" s="80"/>
      <c r="AL91" s="80">
        <v>13.3</v>
      </c>
      <c r="AN91" s="80">
        <v>0.40200000000000002</v>
      </c>
      <c r="AO91" s="80"/>
      <c r="AP91" s="80">
        <v>27.2</v>
      </c>
      <c r="AR91" s="80">
        <v>2</v>
      </c>
      <c r="AS91" s="80"/>
      <c r="AT91" s="80">
        <v>4.57</v>
      </c>
      <c r="AV91" s="80">
        <v>1.75</v>
      </c>
      <c r="AW91" s="80"/>
      <c r="AX91" s="80">
        <v>98.7</v>
      </c>
      <c r="CK91" s="80">
        <v>4</v>
      </c>
      <c r="CL91" s="80">
        <v>108</v>
      </c>
      <c r="GD91" s="80">
        <v>12</v>
      </c>
      <c r="GE91" s="80">
        <v>74.099999999999994</v>
      </c>
      <c r="HR91" s="80">
        <v>24</v>
      </c>
      <c r="HS91" s="80">
        <v>31.4</v>
      </c>
      <c r="HT91" s="80">
        <v>24</v>
      </c>
      <c r="HU91" s="80">
        <v>64.900000000000006</v>
      </c>
      <c r="HV91" s="80">
        <v>24</v>
      </c>
      <c r="HW91" s="80">
        <v>157</v>
      </c>
      <c r="HX91" s="80">
        <v>24</v>
      </c>
      <c r="HY91" s="20">
        <f t="shared" si="9"/>
        <v>8.3963599999999996</v>
      </c>
      <c r="HZ91" s="80">
        <v>24</v>
      </c>
      <c r="IA91" s="20">
        <f t="shared" si="10"/>
        <v>17.354260000000004</v>
      </c>
      <c r="IB91" s="80">
        <v>24</v>
      </c>
      <c r="IC91" s="20">
        <f t="shared" si="11"/>
        <v>41.981800000000007</v>
      </c>
      <c r="IE91" s="80">
        <v>10</v>
      </c>
      <c r="IF91" s="80">
        <v>257</v>
      </c>
      <c r="IG91" s="80">
        <v>10</v>
      </c>
      <c r="IH91" s="80">
        <v>406</v>
      </c>
      <c r="II91" s="80">
        <v>10</v>
      </c>
      <c r="IJ91" s="80">
        <v>436</v>
      </c>
      <c r="IK91" s="80">
        <v>10</v>
      </c>
      <c r="IL91" s="80">
        <v>315</v>
      </c>
      <c r="IM91" s="80"/>
      <c r="IO91" s="80"/>
      <c r="IQ91" s="80"/>
      <c r="IS91" s="80"/>
      <c r="IT91" s="80">
        <v>24</v>
      </c>
      <c r="IU91" s="80">
        <v>52.7</v>
      </c>
      <c r="IV91" s="80">
        <v>24</v>
      </c>
      <c r="IW91" s="80">
        <v>43.8</v>
      </c>
      <c r="IX91" s="80">
        <v>24</v>
      </c>
      <c r="IY91" s="20">
        <f t="shared" si="12"/>
        <v>14.091980000000001</v>
      </c>
      <c r="IZ91" s="80">
        <v>24</v>
      </c>
      <c r="JA91" s="20">
        <f t="shared" si="13"/>
        <v>11.712120000000001</v>
      </c>
      <c r="JB91" s="80">
        <v>6</v>
      </c>
      <c r="JC91" s="80">
        <v>45.6</v>
      </c>
      <c r="JE91" s="80">
        <f t="shared" si="14"/>
        <v>15.199999999999996</v>
      </c>
      <c r="JQ91" s="80">
        <v>2</v>
      </c>
      <c r="JR91" s="80">
        <v>149</v>
      </c>
      <c r="JS91" s="80">
        <f t="shared" si="15"/>
        <v>48</v>
      </c>
      <c r="JV91" s="80">
        <v>2</v>
      </c>
      <c r="JW91" s="80">
        <v>255</v>
      </c>
      <c r="JX91" s="80">
        <f t="shared" si="16"/>
        <v>54</v>
      </c>
    </row>
    <row r="92" spans="27:285" x14ac:dyDescent="0.2">
      <c r="AJ92" s="80">
        <v>0.71699999999999997</v>
      </c>
      <c r="AK92" s="80"/>
      <c r="AL92" s="80">
        <v>11.9</v>
      </c>
      <c r="AN92" s="80">
        <v>0.55100000000000005</v>
      </c>
      <c r="AO92" s="80"/>
      <c r="AP92" s="80">
        <v>33.200000000000003</v>
      </c>
      <c r="AR92" s="80">
        <v>2.5</v>
      </c>
      <c r="AS92" s="80"/>
      <c r="AT92" s="80">
        <v>4.17</v>
      </c>
      <c r="AV92" s="80">
        <v>2</v>
      </c>
      <c r="AW92" s="80"/>
      <c r="AX92" s="80">
        <v>94.3</v>
      </c>
      <c r="CK92" s="80">
        <v>6</v>
      </c>
      <c r="CL92" s="80">
        <v>69.3</v>
      </c>
      <c r="GD92" s="80">
        <v>15</v>
      </c>
      <c r="GE92" s="80">
        <v>50.9</v>
      </c>
      <c r="HR92" s="80">
        <v>1</v>
      </c>
      <c r="HS92" s="80">
        <v>27.8</v>
      </c>
      <c r="IE92" s="80">
        <v>12</v>
      </c>
      <c r="IF92" s="80">
        <v>188</v>
      </c>
      <c r="IG92" s="80">
        <v>12</v>
      </c>
      <c r="IH92" s="80">
        <v>317</v>
      </c>
      <c r="II92" s="80">
        <v>12</v>
      </c>
      <c r="IJ92" s="80">
        <v>333</v>
      </c>
      <c r="IK92" s="80">
        <v>12</v>
      </c>
      <c r="IL92" s="80">
        <v>258</v>
      </c>
      <c r="IM92" s="80"/>
      <c r="IO92" s="80"/>
      <c r="IQ92" s="80"/>
      <c r="IS92" s="80"/>
      <c r="IT92" s="80">
        <v>1</v>
      </c>
      <c r="IU92" s="80">
        <v>7.99</v>
      </c>
      <c r="JB92" s="80">
        <v>8</v>
      </c>
      <c r="JC92" s="80">
        <v>34.9</v>
      </c>
      <c r="JE92" s="80">
        <f t="shared" si="14"/>
        <v>14.899999999999999</v>
      </c>
      <c r="JQ92" s="80">
        <v>3</v>
      </c>
      <c r="JR92" s="80">
        <v>142</v>
      </c>
      <c r="JS92" s="80">
        <f t="shared" si="15"/>
        <v>49.099999999999994</v>
      </c>
      <c r="JV92" s="80">
        <v>3</v>
      </c>
      <c r="JW92" s="80">
        <v>217</v>
      </c>
      <c r="JX92" s="80">
        <f t="shared" si="16"/>
        <v>35</v>
      </c>
    </row>
    <row r="93" spans="27:285" x14ac:dyDescent="0.2">
      <c r="AJ93" s="80">
        <v>0.90100000000000002</v>
      </c>
      <c r="AK93" s="80"/>
      <c r="AL93" s="80">
        <v>11.7</v>
      </c>
      <c r="AN93" s="80">
        <v>0.73599999999999999</v>
      </c>
      <c r="AO93" s="80"/>
      <c r="AP93" s="80">
        <v>36.700000000000003</v>
      </c>
      <c r="AR93" s="80">
        <v>3</v>
      </c>
      <c r="AS93" s="80"/>
      <c r="AT93" s="80">
        <v>3.62</v>
      </c>
      <c r="AV93" s="80">
        <v>2.5</v>
      </c>
      <c r="AW93" s="80"/>
      <c r="AX93" s="80">
        <v>88.4</v>
      </c>
      <c r="CK93" s="80">
        <v>8</v>
      </c>
      <c r="CL93" s="80">
        <v>46</v>
      </c>
      <c r="GD93" s="80">
        <v>18</v>
      </c>
      <c r="GE93" s="80">
        <v>34.9</v>
      </c>
      <c r="HR93" s="80">
        <v>2</v>
      </c>
      <c r="HS93" s="80">
        <v>73.2</v>
      </c>
      <c r="IE93" s="80">
        <v>24</v>
      </c>
      <c r="IF93" s="80">
        <v>57.9</v>
      </c>
      <c r="IG93" s="80">
        <v>24</v>
      </c>
      <c r="IH93" s="80">
        <v>82.9</v>
      </c>
      <c r="II93" s="80">
        <v>24</v>
      </c>
      <c r="IJ93" s="80">
        <v>93.7</v>
      </c>
      <c r="IK93" s="80">
        <v>24</v>
      </c>
      <c r="IL93" s="80">
        <v>104</v>
      </c>
      <c r="IM93" s="80"/>
      <c r="IO93" s="80"/>
      <c r="IQ93" s="80"/>
      <c r="IS93" s="80"/>
      <c r="IT93" s="80">
        <v>2</v>
      </c>
      <c r="IU93" s="80">
        <v>30.3</v>
      </c>
      <c r="JB93" s="80">
        <v>10</v>
      </c>
      <c r="JC93" s="80">
        <v>25.4</v>
      </c>
      <c r="JE93" s="80">
        <f t="shared" si="14"/>
        <v>12.700000000000003</v>
      </c>
      <c r="JQ93" s="80">
        <v>4</v>
      </c>
      <c r="JR93" s="80">
        <v>130</v>
      </c>
      <c r="JS93" s="80">
        <f t="shared" si="15"/>
        <v>48.599999999999994</v>
      </c>
      <c r="JV93" s="80">
        <v>4</v>
      </c>
      <c r="JW93" s="80">
        <v>194</v>
      </c>
      <c r="JX93" s="80">
        <f t="shared" si="16"/>
        <v>43</v>
      </c>
    </row>
    <row r="94" spans="27:285" x14ac:dyDescent="0.2">
      <c r="AJ94" s="80">
        <v>1</v>
      </c>
      <c r="AK94" s="80"/>
      <c r="AL94" s="80">
        <v>10.7</v>
      </c>
      <c r="AN94" s="80">
        <v>0.89700000000000002</v>
      </c>
      <c r="AO94" s="80"/>
      <c r="AP94" s="80">
        <v>45.6</v>
      </c>
      <c r="AR94" s="80">
        <v>4</v>
      </c>
      <c r="AS94" s="80"/>
      <c r="AT94" s="80">
        <v>2.91</v>
      </c>
      <c r="AV94" s="80">
        <v>3</v>
      </c>
      <c r="AW94" s="80"/>
      <c r="AX94" s="80">
        <v>74</v>
      </c>
      <c r="CK94" s="80">
        <v>10</v>
      </c>
      <c r="CL94" s="80">
        <v>28.3</v>
      </c>
      <c r="GD94" s="80">
        <v>21</v>
      </c>
      <c r="GE94" s="80">
        <v>18.899999999999999</v>
      </c>
      <c r="HR94" s="80">
        <v>3</v>
      </c>
      <c r="HS94" s="80">
        <v>89.2</v>
      </c>
      <c r="IE94" s="80">
        <v>25</v>
      </c>
      <c r="IF94" s="80">
        <v>51.1</v>
      </c>
      <c r="IG94" s="80">
        <v>25</v>
      </c>
      <c r="IH94" s="80">
        <v>69</v>
      </c>
      <c r="II94" s="80">
        <v>25</v>
      </c>
      <c r="IJ94" s="80">
        <v>76.099999999999994</v>
      </c>
      <c r="IK94" s="80">
        <v>25</v>
      </c>
      <c r="IL94" s="80">
        <v>86.8</v>
      </c>
      <c r="IM94" s="80"/>
      <c r="IO94" s="80"/>
      <c r="IQ94" s="80"/>
      <c r="IS94" s="80"/>
      <c r="IT94" s="80">
        <v>3</v>
      </c>
      <c r="IU94" s="80">
        <v>42</v>
      </c>
      <c r="JB94" s="80">
        <v>12</v>
      </c>
      <c r="JC94" s="80">
        <v>17.899999999999999</v>
      </c>
      <c r="JE94" s="80">
        <f t="shared" si="14"/>
        <v>10.3</v>
      </c>
      <c r="JQ94" s="80">
        <v>5</v>
      </c>
      <c r="JR94" s="80">
        <v>112</v>
      </c>
      <c r="JS94" s="80">
        <f t="shared" si="15"/>
        <v>42.099999999999994</v>
      </c>
      <c r="JV94" s="80">
        <v>5</v>
      </c>
      <c r="JW94" s="80">
        <v>169</v>
      </c>
      <c r="JX94" s="80">
        <f t="shared" si="16"/>
        <v>40</v>
      </c>
    </row>
    <row r="95" spans="27:285" x14ac:dyDescent="0.2">
      <c r="AJ95" s="80">
        <v>1.5</v>
      </c>
      <c r="AK95" s="80"/>
      <c r="AL95" s="80">
        <v>10.3</v>
      </c>
      <c r="AN95" s="80">
        <v>1</v>
      </c>
      <c r="AO95" s="80"/>
      <c r="AP95" s="80">
        <v>51.1</v>
      </c>
      <c r="AR95" s="80">
        <v>5</v>
      </c>
      <c r="AS95" s="80"/>
      <c r="AT95" s="80">
        <v>2.04</v>
      </c>
      <c r="AV95" s="80">
        <v>4</v>
      </c>
      <c r="AW95" s="80"/>
      <c r="AX95" s="80">
        <v>52.3</v>
      </c>
      <c r="CK95" s="80">
        <v>12</v>
      </c>
      <c r="CL95" s="80">
        <v>18.5</v>
      </c>
      <c r="DC95" s="26" t="s">
        <v>449</v>
      </c>
      <c r="DD95" s="26" t="s">
        <v>388</v>
      </c>
      <c r="GD95" s="80">
        <v>24</v>
      </c>
      <c r="GE95" s="80">
        <v>12.6</v>
      </c>
      <c r="HR95" s="80">
        <v>4</v>
      </c>
      <c r="HS95" s="80">
        <v>125</v>
      </c>
      <c r="IE95" s="80" t="s">
        <v>396</v>
      </c>
      <c r="IF95" s="80"/>
      <c r="IG95" s="80"/>
      <c r="IH95" s="80"/>
      <c r="II95" s="80"/>
      <c r="IJ95" s="80"/>
      <c r="IT95" s="80">
        <v>4</v>
      </c>
      <c r="IU95" s="80">
        <v>57.7</v>
      </c>
      <c r="JB95" s="80">
        <v>24</v>
      </c>
      <c r="JC95" s="80">
        <v>4.04</v>
      </c>
      <c r="JE95" s="80">
        <f t="shared" si="14"/>
        <v>2.2400000000000002</v>
      </c>
      <c r="JQ95" s="80">
        <v>6</v>
      </c>
      <c r="JR95" s="80">
        <v>105</v>
      </c>
      <c r="JS95" s="80">
        <f t="shared" si="15"/>
        <v>41</v>
      </c>
      <c r="JV95" s="80">
        <v>6</v>
      </c>
      <c r="JW95" s="80">
        <v>126</v>
      </c>
      <c r="JX95" s="80">
        <f t="shared" si="16"/>
        <v>27.200000000000003</v>
      </c>
    </row>
    <row r="96" spans="27:285" x14ac:dyDescent="0.2">
      <c r="AJ96" s="80">
        <v>1.75</v>
      </c>
      <c r="AK96" s="80"/>
      <c r="AL96" s="80">
        <v>9.2799999999999994</v>
      </c>
      <c r="AN96" s="80">
        <v>1.5</v>
      </c>
      <c r="AO96" s="80"/>
      <c r="AP96" s="80">
        <v>52.1</v>
      </c>
      <c r="AR96" s="80">
        <v>6</v>
      </c>
      <c r="AS96" s="80"/>
      <c r="AT96" s="80">
        <v>1.6</v>
      </c>
      <c r="AV96" s="80">
        <v>5</v>
      </c>
      <c r="AW96" s="80"/>
      <c r="AX96" s="80">
        <v>40</v>
      </c>
      <c r="CK96" s="80">
        <v>14</v>
      </c>
      <c r="CL96" s="80">
        <v>12.4</v>
      </c>
      <c r="DB96" t="s">
        <v>88</v>
      </c>
      <c r="DC96" s="12" t="s">
        <v>121</v>
      </c>
      <c r="DD96" s="12" t="s">
        <v>121</v>
      </c>
      <c r="GA96" s="80">
        <v>28</v>
      </c>
      <c r="GB96" s="80">
        <v>4.95</v>
      </c>
      <c r="HO96" s="80">
        <v>5</v>
      </c>
      <c r="HP96" s="80">
        <v>127</v>
      </c>
      <c r="IB96" s="80">
        <v>0.25</v>
      </c>
      <c r="IC96" s="20">
        <f t="shared" ref="IC96:IC107" si="17">0.2674*IF82</f>
        <v>2.4172959999999999</v>
      </c>
      <c r="ID96" s="80">
        <v>0.25</v>
      </c>
      <c r="IE96" s="20">
        <f t="shared" ref="IE96:IE107" si="18">0.2674*IH82</f>
        <v>1.941324</v>
      </c>
      <c r="IF96" s="80">
        <v>0.25</v>
      </c>
      <c r="IG96" s="20">
        <f t="shared" ref="IG96:IG107" si="19">0.2674*IJ82</f>
        <v>2.4199700000000006</v>
      </c>
      <c r="IH96" s="80">
        <v>0.25</v>
      </c>
      <c r="II96" s="20">
        <f t="shared" ref="II96:II107" si="20">0.2674*IL82</f>
        <v>0.98403200000000013</v>
      </c>
      <c r="IJ96" s="20"/>
      <c r="IQ96" s="80">
        <v>5</v>
      </c>
      <c r="IR96" s="80">
        <v>57.3</v>
      </c>
      <c r="IY96" s="80">
        <v>0.5</v>
      </c>
      <c r="IZ96" s="80">
        <v>31.1</v>
      </c>
      <c r="JA96" s="156">
        <f>100/IZ96*JB96</f>
        <v>100.32154340836011</v>
      </c>
      <c r="JB96" s="80">
        <f>JB106</f>
        <v>31.199999999999996</v>
      </c>
      <c r="JN96" s="80">
        <v>8</v>
      </c>
      <c r="JO96" s="80">
        <v>80</v>
      </c>
      <c r="JP96" s="80">
        <f>JO96-JR80</f>
        <v>32.299999999999997</v>
      </c>
      <c r="JS96" s="80">
        <v>8</v>
      </c>
      <c r="JT96" s="80">
        <v>84.3</v>
      </c>
      <c r="JU96" s="80">
        <f>JT96-JW80</f>
        <v>20</v>
      </c>
    </row>
    <row r="97" spans="36:281" x14ac:dyDescent="0.2">
      <c r="AJ97" s="80">
        <v>2</v>
      </c>
      <c r="AK97" s="80"/>
      <c r="AL97" s="80">
        <v>8.81</v>
      </c>
      <c r="AN97" s="80">
        <v>1.75</v>
      </c>
      <c r="AO97" s="80"/>
      <c r="AP97" s="80">
        <v>54.7</v>
      </c>
      <c r="AR97" s="80">
        <v>7</v>
      </c>
      <c r="AS97" s="80"/>
      <c r="AT97" s="80">
        <v>1.45</v>
      </c>
      <c r="AV97" s="80">
        <v>6</v>
      </c>
      <c r="AW97" s="80"/>
      <c r="AX97" s="80">
        <v>31.4</v>
      </c>
      <c r="CK97" s="80">
        <v>16</v>
      </c>
      <c r="CL97" s="80">
        <v>8.57</v>
      </c>
      <c r="DB97" s="80">
        <v>0</v>
      </c>
      <c r="DC97" s="80">
        <v>0</v>
      </c>
      <c r="DD97" s="80">
        <v>0</v>
      </c>
      <c r="GA97" s="80">
        <v>32</v>
      </c>
      <c r="GB97" s="80">
        <v>1.8</v>
      </c>
      <c r="HO97" s="80">
        <v>6</v>
      </c>
      <c r="HP97" s="80">
        <v>132</v>
      </c>
      <c r="HV97" t="s">
        <v>787</v>
      </c>
      <c r="IB97" s="80">
        <v>0.5</v>
      </c>
      <c r="IC97" s="20">
        <f t="shared" si="17"/>
        <v>212.85040000000001</v>
      </c>
      <c r="ID97" s="80">
        <v>0.5</v>
      </c>
      <c r="IE97" s="20">
        <f t="shared" si="18"/>
        <v>52.143000000000008</v>
      </c>
      <c r="IF97" s="80">
        <v>0.5</v>
      </c>
      <c r="IG97" s="20">
        <f t="shared" si="19"/>
        <v>1.4626780000000001</v>
      </c>
      <c r="IH97" s="80">
        <v>0.5</v>
      </c>
      <c r="II97" s="20">
        <f t="shared" si="20"/>
        <v>35.564200000000007</v>
      </c>
      <c r="IJ97" s="20"/>
      <c r="IQ97" s="80">
        <v>6</v>
      </c>
      <c r="IR97" s="80">
        <v>55.5</v>
      </c>
      <c r="IY97" s="80">
        <v>0.75</v>
      </c>
      <c r="IZ97" s="80">
        <v>38.1</v>
      </c>
      <c r="JA97" s="156">
        <f t="shared" ref="JA97:JA105" si="21">100/IZ97*JB97</f>
        <v>141.46981627296589</v>
      </c>
      <c r="JB97" s="80">
        <f t="shared" ref="JB97" si="22">JB107</f>
        <v>53.9</v>
      </c>
      <c r="JN97" s="80">
        <v>12</v>
      </c>
      <c r="JO97" s="80">
        <v>52.5</v>
      </c>
      <c r="JP97" s="80">
        <f>JO97-JR81</f>
        <v>25.4</v>
      </c>
      <c r="JS97" s="80">
        <v>12</v>
      </c>
      <c r="JT97" s="80">
        <v>54.6</v>
      </c>
      <c r="JU97" s="80">
        <f>JT97-JW81</f>
        <v>13.800000000000004</v>
      </c>
    </row>
    <row r="98" spans="36:281" x14ac:dyDescent="0.2">
      <c r="AJ98" s="80">
        <v>3</v>
      </c>
      <c r="AK98" s="80"/>
      <c r="AL98" s="80">
        <v>7.21</v>
      </c>
      <c r="AN98" s="80">
        <v>2</v>
      </c>
      <c r="AO98" s="80"/>
      <c r="AP98" s="80">
        <v>57.3</v>
      </c>
      <c r="AR98" s="80">
        <v>8</v>
      </c>
      <c r="AS98" s="80"/>
      <c r="AT98" s="80">
        <v>0.91300000000000003</v>
      </c>
      <c r="AV98" s="80">
        <v>7</v>
      </c>
      <c r="AW98" s="80"/>
      <c r="AX98" s="80">
        <v>23.8</v>
      </c>
      <c r="CK98" s="80">
        <v>20</v>
      </c>
      <c r="CL98" s="80">
        <v>4.4000000000000004</v>
      </c>
      <c r="DB98" s="80">
        <v>1</v>
      </c>
      <c r="DC98" s="80">
        <v>76.2</v>
      </c>
      <c r="DD98" s="80">
        <v>1.61</v>
      </c>
      <c r="GA98" s="80">
        <v>0</v>
      </c>
      <c r="GB98" s="80">
        <v>0</v>
      </c>
      <c r="HO98" s="80">
        <v>8</v>
      </c>
      <c r="HP98" s="80">
        <v>127</v>
      </c>
      <c r="HV98" t="s">
        <v>88</v>
      </c>
      <c r="HW98" s="12" t="s">
        <v>121</v>
      </c>
      <c r="HX98" t="s">
        <v>786</v>
      </c>
      <c r="IB98" s="80">
        <v>0.75</v>
      </c>
      <c r="IC98" s="20">
        <f t="shared" si="17"/>
        <v>250.28640000000001</v>
      </c>
      <c r="ID98" s="80">
        <v>0.75</v>
      </c>
      <c r="IE98" s="20">
        <f t="shared" si="18"/>
        <v>64.176000000000002</v>
      </c>
      <c r="IF98" s="80">
        <v>0.75</v>
      </c>
      <c r="IG98" s="20">
        <f t="shared" si="19"/>
        <v>28.344400000000004</v>
      </c>
      <c r="IH98" s="80">
        <v>0.75</v>
      </c>
      <c r="II98" s="20">
        <f t="shared" si="20"/>
        <v>64.710800000000006</v>
      </c>
      <c r="IJ98" s="20"/>
      <c r="IQ98" s="80">
        <v>8</v>
      </c>
      <c r="IR98" s="80">
        <v>61.4</v>
      </c>
      <c r="IY98" s="80">
        <v>1</v>
      </c>
      <c r="IZ98" s="80">
        <v>53.5</v>
      </c>
      <c r="JA98" s="156">
        <f t="shared" si="21"/>
        <v>47.663551401869157</v>
      </c>
      <c r="JB98" s="80">
        <f t="shared" ref="JB98:JB105" si="23">JE108</f>
        <v>25.5</v>
      </c>
      <c r="JN98" s="80">
        <v>24</v>
      </c>
      <c r="JO98" s="80">
        <v>10.8</v>
      </c>
      <c r="JP98" s="80">
        <f>JO98-JR82</f>
        <v>5.580000000000001</v>
      </c>
      <c r="JS98" s="80">
        <v>24</v>
      </c>
      <c r="JT98" s="80">
        <v>21.4</v>
      </c>
      <c r="JU98" s="80">
        <f>JT98-JW82</f>
        <v>6.8999999999999986</v>
      </c>
    </row>
    <row r="99" spans="36:281" x14ac:dyDescent="0.2">
      <c r="AJ99" s="80">
        <v>4</v>
      </c>
      <c r="AK99" s="80"/>
      <c r="AL99" s="80">
        <v>5.59</v>
      </c>
      <c r="AN99" s="80">
        <v>3</v>
      </c>
      <c r="AO99" s="80"/>
      <c r="AP99" s="80">
        <v>55.6</v>
      </c>
      <c r="AV99" s="80">
        <v>8</v>
      </c>
      <c r="AW99" s="80"/>
      <c r="AX99" s="80">
        <v>20.2</v>
      </c>
      <c r="CK99" s="80">
        <v>24</v>
      </c>
      <c r="CL99" s="80">
        <v>2.93</v>
      </c>
      <c r="DB99" s="80">
        <v>2</v>
      </c>
      <c r="DC99" s="80">
        <v>131</v>
      </c>
      <c r="DD99" s="80">
        <v>13.3</v>
      </c>
      <c r="GA99" s="80">
        <v>2</v>
      </c>
      <c r="GB99" s="80">
        <v>32.9</v>
      </c>
      <c r="HO99" s="80">
        <v>10</v>
      </c>
      <c r="HP99" s="80">
        <v>120</v>
      </c>
      <c r="HV99" s="80">
        <v>1</v>
      </c>
      <c r="HW99" s="20">
        <v>3.7168600000000005</v>
      </c>
      <c r="HX99" s="80">
        <v>13.9</v>
      </c>
      <c r="IB99" s="80">
        <v>2</v>
      </c>
      <c r="IC99" s="20">
        <f t="shared" si="17"/>
        <v>265.52820000000003</v>
      </c>
      <c r="ID99" s="80">
        <v>2</v>
      </c>
      <c r="IE99" s="20">
        <f t="shared" si="18"/>
        <v>101.0772</v>
      </c>
      <c r="IF99" s="80">
        <v>2</v>
      </c>
      <c r="IG99" s="20">
        <f t="shared" si="19"/>
        <v>53.212600000000002</v>
      </c>
      <c r="IH99" s="80">
        <v>2</v>
      </c>
      <c r="II99" s="20">
        <f t="shared" si="20"/>
        <v>100.27500000000001</v>
      </c>
      <c r="IJ99" s="20"/>
      <c r="IQ99" s="80">
        <v>10</v>
      </c>
      <c r="IR99" s="80">
        <v>65.599999999999994</v>
      </c>
      <c r="IY99" s="80">
        <v>1.5</v>
      </c>
      <c r="IZ99" s="80">
        <v>46.8</v>
      </c>
      <c r="JA99" s="156">
        <f t="shared" si="21"/>
        <v>69.01709401709401</v>
      </c>
      <c r="JB99" s="80">
        <f t="shared" si="23"/>
        <v>32.299999999999997</v>
      </c>
      <c r="JN99" s="80">
        <v>36</v>
      </c>
      <c r="JO99" s="80">
        <v>1.74</v>
      </c>
      <c r="JP99" s="80">
        <f>JO99-JR83</f>
        <v>1.044</v>
      </c>
      <c r="JS99" s="80">
        <v>36</v>
      </c>
      <c r="JT99" s="80">
        <v>7.6</v>
      </c>
      <c r="JU99" s="80">
        <f>JT99-JW83</f>
        <v>2.0699999999999994</v>
      </c>
    </row>
    <row r="100" spans="36:281" x14ac:dyDescent="0.2">
      <c r="AJ100" s="80">
        <v>5</v>
      </c>
      <c r="AK100" s="80"/>
      <c r="AL100" s="80">
        <v>5.18</v>
      </c>
      <c r="AN100" s="80">
        <v>4</v>
      </c>
      <c r="AO100" s="80"/>
      <c r="AP100" s="80">
        <v>54.4</v>
      </c>
      <c r="CK100" s="80">
        <v>30</v>
      </c>
      <c r="CL100" s="80">
        <v>1.63</v>
      </c>
      <c r="DB100" s="80">
        <v>3</v>
      </c>
      <c r="DC100" s="80">
        <v>103</v>
      </c>
      <c r="DD100" s="80">
        <v>27.2</v>
      </c>
      <c r="GA100" s="80">
        <v>3</v>
      </c>
      <c r="GB100" s="80">
        <v>40.1</v>
      </c>
      <c r="HO100" s="80">
        <v>12</v>
      </c>
      <c r="HP100" s="80">
        <v>122</v>
      </c>
      <c r="HV100" s="80">
        <v>2</v>
      </c>
      <c r="HW100" s="20">
        <v>8.1289600000000011</v>
      </c>
      <c r="HX100" s="80">
        <v>30.4</v>
      </c>
      <c r="IB100" s="80">
        <v>3</v>
      </c>
      <c r="IC100" s="20">
        <f t="shared" si="17"/>
        <v>238.52080000000004</v>
      </c>
      <c r="ID100" s="80">
        <v>3</v>
      </c>
      <c r="IE100" s="20">
        <f t="shared" si="18"/>
        <v>134.76960000000003</v>
      </c>
      <c r="IF100" s="80">
        <v>3</v>
      </c>
      <c r="IG100" s="20">
        <f t="shared" si="19"/>
        <v>78.615600000000015</v>
      </c>
      <c r="IH100" s="80">
        <v>3</v>
      </c>
      <c r="II100" s="20">
        <f t="shared" si="20"/>
        <v>125.94540000000001</v>
      </c>
      <c r="IJ100" s="20"/>
      <c r="IQ100" s="80">
        <v>12</v>
      </c>
      <c r="IR100" s="80">
        <v>73.400000000000006</v>
      </c>
      <c r="IY100" s="80">
        <v>2</v>
      </c>
      <c r="IZ100" s="80">
        <v>41.6</v>
      </c>
      <c r="JA100" s="156">
        <f t="shared" si="21"/>
        <v>110.57692307692305</v>
      </c>
      <c r="JB100" s="80">
        <f t="shared" si="23"/>
        <v>45.999999999999993</v>
      </c>
      <c r="JN100" s="80">
        <v>48</v>
      </c>
      <c r="JO100" s="80">
        <v>1.04</v>
      </c>
      <c r="JP100" s="80">
        <f>JO100-JR84</f>
        <v>0.69200000000000006</v>
      </c>
      <c r="JS100" s="80">
        <v>48</v>
      </c>
      <c r="JT100" s="80">
        <v>3.46</v>
      </c>
      <c r="JU100" s="80">
        <f>JT100-JW84</f>
        <v>0.70000000000000018</v>
      </c>
    </row>
    <row r="101" spans="36:281" x14ac:dyDescent="0.2">
      <c r="AJ101" s="80">
        <v>6</v>
      </c>
      <c r="AK101" s="80"/>
      <c r="AL101" s="80">
        <v>4.0199999999999996</v>
      </c>
      <c r="AN101" s="80">
        <v>5</v>
      </c>
      <c r="AO101" s="80"/>
      <c r="AP101" s="80">
        <v>44.2</v>
      </c>
      <c r="CK101" s="80">
        <v>0</v>
      </c>
      <c r="CL101" s="80">
        <v>-2.61E-4</v>
      </c>
      <c r="DB101" s="80">
        <v>4</v>
      </c>
      <c r="DC101" s="80">
        <v>98.2</v>
      </c>
      <c r="DD101" s="80">
        <v>47.6</v>
      </c>
      <c r="GA101" s="80">
        <v>4</v>
      </c>
      <c r="GB101" s="80">
        <v>45.7</v>
      </c>
      <c r="HO101" s="80">
        <v>14</v>
      </c>
      <c r="HP101" s="80">
        <v>114</v>
      </c>
      <c r="HV101" s="80">
        <v>3</v>
      </c>
      <c r="HW101" s="20">
        <v>10.348380000000002</v>
      </c>
      <c r="HX101" s="80">
        <v>38.700000000000003</v>
      </c>
      <c r="IB101" s="80">
        <v>4</v>
      </c>
      <c r="IC101" s="20">
        <f t="shared" si="17"/>
        <v>186.91260000000003</v>
      </c>
      <c r="ID101" s="80">
        <v>4</v>
      </c>
      <c r="IE101" s="20">
        <f t="shared" si="18"/>
        <v>163.9162</v>
      </c>
      <c r="IF101" s="80">
        <v>4</v>
      </c>
      <c r="IG101" s="20">
        <f t="shared" si="19"/>
        <v>104.55340000000001</v>
      </c>
      <c r="IH101" s="80">
        <v>4</v>
      </c>
      <c r="II101" s="20">
        <f t="shared" si="20"/>
        <v>128.88680000000002</v>
      </c>
      <c r="IJ101" s="20"/>
      <c r="IQ101" s="80">
        <v>14</v>
      </c>
      <c r="IR101" s="80">
        <v>78</v>
      </c>
      <c r="IY101" s="80">
        <v>4</v>
      </c>
      <c r="IZ101" s="80">
        <v>25.6</v>
      </c>
      <c r="JA101" s="156">
        <f t="shared" si="21"/>
        <v>121.09375</v>
      </c>
      <c r="JB101" s="80">
        <f t="shared" si="23"/>
        <v>31</v>
      </c>
    </row>
    <row r="102" spans="36:281" x14ac:dyDescent="0.2">
      <c r="AJ102" s="80">
        <v>7</v>
      </c>
      <c r="AK102" s="80"/>
      <c r="AL102" s="80">
        <v>3.29</v>
      </c>
      <c r="AN102" s="80">
        <v>6</v>
      </c>
      <c r="AO102" s="80"/>
      <c r="AP102" s="80">
        <v>40.700000000000003</v>
      </c>
      <c r="CK102" s="80">
        <v>0.5</v>
      </c>
      <c r="CL102" s="80">
        <v>8.1199999999999992</v>
      </c>
      <c r="DB102" s="80">
        <v>6</v>
      </c>
      <c r="DC102" s="80">
        <v>73.7</v>
      </c>
      <c r="DD102" s="80">
        <v>86.5</v>
      </c>
      <c r="GA102" s="80">
        <v>6</v>
      </c>
      <c r="GB102" s="80">
        <v>60.6</v>
      </c>
      <c r="HO102" s="80">
        <v>24</v>
      </c>
      <c r="HP102" s="80">
        <v>64.900000000000006</v>
      </c>
      <c r="HV102" s="80">
        <v>4</v>
      </c>
      <c r="HW102" s="20">
        <v>14.198940000000002</v>
      </c>
      <c r="HX102" s="80">
        <v>53.1</v>
      </c>
      <c r="IB102" s="80">
        <v>5</v>
      </c>
      <c r="IC102" s="20">
        <f t="shared" si="17"/>
        <v>147.87220000000002</v>
      </c>
      <c r="ID102" s="80">
        <v>5</v>
      </c>
      <c r="IE102" s="20">
        <f t="shared" si="18"/>
        <v>154.0224</v>
      </c>
      <c r="IF102" s="80">
        <v>5</v>
      </c>
      <c r="IG102" s="20">
        <f t="shared" si="19"/>
        <v>151.61580000000001</v>
      </c>
      <c r="IH102" s="80">
        <v>5</v>
      </c>
      <c r="II102" s="20">
        <f t="shared" si="20"/>
        <v>118.99300000000001</v>
      </c>
      <c r="IJ102" s="20"/>
      <c r="IQ102" s="80">
        <v>24</v>
      </c>
      <c r="IR102" s="80">
        <v>43.8</v>
      </c>
      <c r="IY102" s="80">
        <v>6</v>
      </c>
      <c r="IZ102" s="80">
        <v>14.7</v>
      </c>
      <c r="JA102" s="156">
        <f t="shared" si="21"/>
        <v>175.51020408163268</v>
      </c>
      <c r="JB102" s="80">
        <f t="shared" si="23"/>
        <v>25.8</v>
      </c>
    </row>
    <row r="103" spans="36:281" x14ac:dyDescent="0.2">
      <c r="AJ103" s="80">
        <v>8</v>
      </c>
      <c r="AK103" s="80"/>
      <c r="AL103" s="80">
        <v>2.71</v>
      </c>
      <c r="AN103" s="80">
        <v>7</v>
      </c>
      <c r="AO103" s="80"/>
      <c r="AP103" s="80">
        <v>32.799999999999997</v>
      </c>
      <c r="CK103" s="80">
        <v>1</v>
      </c>
      <c r="CL103" s="80">
        <v>26.4</v>
      </c>
      <c r="DB103" s="80">
        <v>9</v>
      </c>
      <c r="DC103" s="80">
        <v>30.6</v>
      </c>
      <c r="DD103" s="80">
        <v>97.9</v>
      </c>
      <c r="GA103" s="80">
        <v>8</v>
      </c>
      <c r="GB103" s="80">
        <v>76.400000000000006</v>
      </c>
      <c r="HO103" s="80">
        <v>1</v>
      </c>
      <c r="HP103" s="80">
        <v>73.2</v>
      </c>
      <c r="HV103" s="80">
        <v>5</v>
      </c>
      <c r="HW103" s="20">
        <v>15.428980000000003</v>
      </c>
      <c r="HX103" s="80">
        <v>57.7</v>
      </c>
      <c r="IB103" s="80">
        <v>6</v>
      </c>
      <c r="IC103" s="20">
        <f t="shared" si="17"/>
        <v>133.96740000000003</v>
      </c>
      <c r="ID103" s="80">
        <v>6</v>
      </c>
      <c r="IE103" s="20">
        <f t="shared" si="18"/>
        <v>146.80260000000001</v>
      </c>
      <c r="IF103" s="80">
        <v>6</v>
      </c>
      <c r="IG103" s="20">
        <f t="shared" si="19"/>
        <v>149.74400000000003</v>
      </c>
      <c r="IH103" s="80">
        <v>6</v>
      </c>
      <c r="II103" s="20">
        <f t="shared" si="20"/>
        <v>112.84280000000001</v>
      </c>
      <c r="IJ103" s="20"/>
      <c r="IY103" s="80">
        <v>8</v>
      </c>
      <c r="IZ103" s="80">
        <v>11</v>
      </c>
      <c r="JA103" s="156">
        <f t="shared" si="21"/>
        <v>163.63636363636365</v>
      </c>
      <c r="JB103" s="80">
        <f t="shared" si="23"/>
        <v>18</v>
      </c>
    </row>
    <row r="104" spans="36:281" x14ac:dyDescent="0.2">
      <c r="AJ104" s="80">
        <v>10</v>
      </c>
      <c r="AK104" s="80"/>
      <c r="AL104" s="80">
        <v>1.57</v>
      </c>
      <c r="AN104" s="80">
        <v>8</v>
      </c>
      <c r="AO104" s="80"/>
      <c r="AP104" s="80">
        <v>29.6</v>
      </c>
      <c r="CK104" s="80">
        <v>1.5</v>
      </c>
      <c r="CL104" s="80">
        <v>45.1</v>
      </c>
      <c r="DB104" s="80">
        <v>12</v>
      </c>
      <c r="DC104" s="80">
        <v>13.6</v>
      </c>
      <c r="DD104" s="80">
        <v>114</v>
      </c>
      <c r="GA104" s="80">
        <v>10</v>
      </c>
      <c r="GB104" s="80">
        <v>73.599999999999994</v>
      </c>
      <c r="HO104" s="80">
        <v>2</v>
      </c>
      <c r="HP104" s="80">
        <v>131</v>
      </c>
      <c r="HV104" s="80">
        <v>6</v>
      </c>
      <c r="HW104" s="20">
        <v>18.049500000000002</v>
      </c>
      <c r="HX104" s="80">
        <v>67.5</v>
      </c>
      <c r="IB104" s="80">
        <v>8</v>
      </c>
      <c r="IC104" s="20">
        <f t="shared" si="17"/>
        <v>95.461800000000011</v>
      </c>
      <c r="ID104" s="80">
        <v>8</v>
      </c>
      <c r="IE104" s="20">
        <f t="shared" si="18"/>
        <v>133.16520000000003</v>
      </c>
      <c r="IF104" s="80">
        <v>8</v>
      </c>
      <c r="IG104" s="20">
        <f t="shared" si="19"/>
        <v>137.4436</v>
      </c>
      <c r="IH104" s="80">
        <v>8</v>
      </c>
      <c r="II104" s="20">
        <f t="shared" si="20"/>
        <v>95.461800000000011</v>
      </c>
      <c r="IJ104" s="20"/>
      <c r="IY104" s="80">
        <v>10</v>
      </c>
      <c r="IZ104" s="80">
        <v>7.13</v>
      </c>
      <c r="JA104" s="156">
        <f t="shared" si="21"/>
        <v>162.27208976157084</v>
      </c>
      <c r="JB104" s="80">
        <f t="shared" si="23"/>
        <v>11.57</v>
      </c>
    </row>
    <row r="105" spans="36:281" x14ac:dyDescent="0.2">
      <c r="AJ105" s="80">
        <v>12</v>
      </c>
      <c r="AK105" s="80"/>
      <c r="AL105" s="80">
        <v>1.08</v>
      </c>
      <c r="AN105" s="80">
        <v>10</v>
      </c>
      <c r="AO105" s="80"/>
      <c r="AP105" s="80">
        <v>24.2</v>
      </c>
      <c r="CK105" s="80">
        <v>2</v>
      </c>
      <c r="CL105" s="80">
        <v>62.3</v>
      </c>
      <c r="DB105" s="80">
        <v>14</v>
      </c>
      <c r="DC105" s="80">
        <v>132</v>
      </c>
      <c r="DD105" s="80">
        <v>109</v>
      </c>
      <c r="GA105" s="80">
        <v>12</v>
      </c>
      <c r="GB105" s="80">
        <v>63.5</v>
      </c>
      <c r="HO105" s="80">
        <v>3</v>
      </c>
      <c r="HP105" s="80">
        <v>187</v>
      </c>
      <c r="HV105" s="80">
        <v>8</v>
      </c>
      <c r="HW105" s="20">
        <v>15.99052</v>
      </c>
      <c r="HX105" s="80">
        <v>59.8</v>
      </c>
      <c r="IB105" s="80">
        <v>10</v>
      </c>
      <c r="IC105" s="20">
        <f t="shared" si="17"/>
        <v>68.721800000000002</v>
      </c>
      <c r="ID105" s="80">
        <v>10</v>
      </c>
      <c r="IE105" s="20">
        <f t="shared" si="18"/>
        <v>108.56440000000001</v>
      </c>
      <c r="IF105" s="80">
        <v>10</v>
      </c>
      <c r="IG105" s="20">
        <f t="shared" si="19"/>
        <v>116.58640000000001</v>
      </c>
      <c r="IH105" s="80">
        <v>10</v>
      </c>
      <c r="II105" s="20">
        <f t="shared" si="20"/>
        <v>84.231000000000009</v>
      </c>
      <c r="IJ105" s="20"/>
      <c r="IY105" s="80">
        <v>12</v>
      </c>
      <c r="IZ105" s="80">
        <v>6.36</v>
      </c>
      <c r="JA105" s="156">
        <f t="shared" si="21"/>
        <v>132.70440251572327</v>
      </c>
      <c r="JB105" s="80">
        <f t="shared" si="23"/>
        <v>8.4400000000000013</v>
      </c>
    </row>
    <row r="106" spans="36:281" x14ac:dyDescent="0.2">
      <c r="AN106" s="80">
        <v>12</v>
      </c>
      <c r="AO106" s="80"/>
      <c r="AP106" s="80">
        <v>17.100000000000001</v>
      </c>
      <c r="CK106" s="80">
        <v>3</v>
      </c>
      <c r="CL106" s="80">
        <v>87.6</v>
      </c>
      <c r="DB106" s="80">
        <v>20</v>
      </c>
      <c r="DC106" s="80">
        <v>66.599999999999994</v>
      </c>
      <c r="DD106" s="80">
        <v>79.099999999999994</v>
      </c>
      <c r="GA106" s="80">
        <v>15</v>
      </c>
      <c r="GB106" s="80">
        <v>45</v>
      </c>
      <c r="HO106" s="80">
        <v>4</v>
      </c>
      <c r="HP106" s="80">
        <v>228</v>
      </c>
      <c r="HV106" s="80">
        <v>10</v>
      </c>
      <c r="HW106" s="20">
        <v>16.552060000000001</v>
      </c>
      <c r="HX106" s="80">
        <v>61.9</v>
      </c>
      <c r="IB106" s="80">
        <v>12</v>
      </c>
      <c r="IC106" s="20">
        <f t="shared" si="17"/>
        <v>50.271200000000007</v>
      </c>
      <c r="ID106" s="80">
        <v>12</v>
      </c>
      <c r="IE106" s="20">
        <f t="shared" si="18"/>
        <v>84.765800000000013</v>
      </c>
      <c r="IF106" s="80">
        <v>12</v>
      </c>
      <c r="IG106" s="20">
        <f t="shared" si="19"/>
        <v>89.044200000000004</v>
      </c>
      <c r="IH106" s="80">
        <v>12</v>
      </c>
      <c r="II106" s="20">
        <f t="shared" si="20"/>
        <v>68.989200000000011</v>
      </c>
      <c r="IJ106" s="20"/>
      <c r="IY106" s="80">
        <v>0.5</v>
      </c>
      <c r="IZ106" s="80">
        <v>62.3</v>
      </c>
      <c r="JB106" s="80">
        <f>IZ106-IZ96</f>
        <v>31.199999999999996</v>
      </c>
    </row>
    <row r="107" spans="36:281" x14ac:dyDescent="0.2">
      <c r="AN107" s="80"/>
      <c r="AO107" s="80"/>
      <c r="AP107" s="80"/>
      <c r="CK107" s="80">
        <v>4</v>
      </c>
      <c r="CL107" s="80">
        <v>89.4</v>
      </c>
      <c r="DB107" s="80">
        <v>24</v>
      </c>
      <c r="DC107" s="80">
        <v>28.9</v>
      </c>
      <c r="DD107" s="80">
        <v>68.099999999999994</v>
      </c>
      <c r="GA107" s="80">
        <v>18</v>
      </c>
      <c r="GB107" s="80">
        <v>30.9</v>
      </c>
      <c r="HO107" s="80">
        <v>5</v>
      </c>
      <c r="HP107" s="80">
        <v>228</v>
      </c>
      <c r="HV107" s="80">
        <v>12</v>
      </c>
      <c r="HW107" s="20">
        <v>16.124220000000001</v>
      </c>
      <c r="HX107" s="80">
        <v>60.3</v>
      </c>
      <c r="IB107" s="80">
        <v>24</v>
      </c>
      <c r="IC107" s="20">
        <f t="shared" si="17"/>
        <v>15.482460000000001</v>
      </c>
      <c r="ID107" s="80">
        <v>24</v>
      </c>
      <c r="IE107" s="20">
        <f t="shared" si="18"/>
        <v>22.167460000000005</v>
      </c>
      <c r="IF107" s="80">
        <v>24</v>
      </c>
      <c r="IG107" s="20">
        <f t="shared" si="19"/>
        <v>25.055380000000003</v>
      </c>
      <c r="IH107" s="80">
        <v>24</v>
      </c>
      <c r="II107" s="20">
        <f t="shared" si="20"/>
        <v>27.809600000000003</v>
      </c>
      <c r="IJ107" s="20"/>
      <c r="IY107" s="80">
        <v>0.75</v>
      </c>
      <c r="IZ107" s="80">
        <v>92</v>
      </c>
      <c r="JB107" s="80">
        <f t="shared" ref="JB107" si="24">IZ107-IZ97</f>
        <v>53.9</v>
      </c>
    </row>
    <row r="108" spans="36:281" x14ac:dyDescent="0.2">
      <c r="AN108" s="80"/>
      <c r="AO108" s="80"/>
      <c r="AP108" s="80"/>
      <c r="CK108" s="80">
        <v>6</v>
      </c>
      <c r="CL108" s="80">
        <v>76.599999999999994</v>
      </c>
      <c r="GD108" s="80">
        <v>21</v>
      </c>
      <c r="GE108" s="80">
        <v>19.600000000000001</v>
      </c>
      <c r="HR108" s="80">
        <v>6</v>
      </c>
      <c r="HS108" s="80">
        <v>239</v>
      </c>
      <c r="HV108" s="80">
        <v>14</v>
      </c>
      <c r="HW108" s="20">
        <v>16.257920000000002</v>
      </c>
      <c r="HX108" s="80">
        <v>60.8</v>
      </c>
      <c r="IE108" s="80">
        <v>25</v>
      </c>
      <c r="IF108" s="20">
        <f t="shared" ref="IF108" si="25">0.2674*IF94</f>
        <v>13.664140000000002</v>
      </c>
      <c r="IG108" s="80">
        <v>25</v>
      </c>
      <c r="IH108" s="20">
        <f t="shared" ref="IH108" si="26">0.2674*IH94</f>
        <v>18.450600000000001</v>
      </c>
      <c r="II108" s="80">
        <v>25</v>
      </c>
      <c r="IJ108" s="20">
        <f t="shared" ref="IJ108" si="27">0.2674*IJ94</f>
        <v>20.349140000000002</v>
      </c>
      <c r="IK108" s="80">
        <v>25</v>
      </c>
      <c r="IL108" s="20">
        <f t="shared" ref="IL108" si="28">0.2674*IL94</f>
        <v>23.210320000000003</v>
      </c>
      <c r="IM108" s="20"/>
      <c r="JB108" s="80">
        <v>1</v>
      </c>
      <c r="JC108" s="80">
        <v>79</v>
      </c>
      <c r="JE108" s="80">
        <f t="shared" ref="JE108:JE115" si="29">JC108-IZ98</f>
        <v>25.5</v>
      </c>
    </row>
    <row r="109" spans="36:281" x14ac:dyDescent="0.2">
      <c r="AN109" s="80"/>
      <c r="AO109" s="80"/>
      <c r="AP109" s="80"/>
      <c r="CK109" s="80">
        <v>8</v>
      </c>
      <c r="CL109" s="80">
        <v>57</v>
      </c>
      <c r="GD109" s="80">
        <v>24</v>
      </c>
      <c r="GE109" s="80">
        <v>13.1</v>
      </c>
      <c r="HR109" s="80">
        <v>8</v>
      </c>
      <c r="HS109" s="80">
        <v>233</v>
      </c>
      <c r="HV109" s="80">
        <v>24</v>
      </c>
      <c r="HW109" s="20">
        <v>8.3963599999999996</v>
      </c>
      <c r="HX109" s="80">
        <v>31.4</v>
      </c>
      <c r="IE109" s="80"/>
      <c r="IF109" s="80"/>
      <c r="IG109" s="80"/>
      <c r="IH109" s="80"/>
      <c r="JB109" s="80">
        <v>1.5</v>
      </c>
      <c r="JC109" s="80">
        <v>79.099999999999994</v>
      </c>
      <c r="JE109" s="80">
        <f t="shared" si="29"/>
        <v>32.299999999999997</v>
      </c>
    </row>
    <row r="110" spans="36:281" x14ac:dyDescent="0.2">
      <c r="AN110" s="80"/>
      <c r="AO110" s="80"/>
      <c r="AP110" s="80"/>
      <c r="CK110" s="80">
        <v>10</v>
      </c>
      <c r="CL110" s="80">
        <v>37.5</v>
      </c>
      <c r="GD110" s="80">
        <v>28</v>
      </c>
      <c r="GE110" s="80">
        <v>2.7</v>
      </c>
      <c r="HR110" s="80">
        <v>10</v>
      </c>
      <c r="HS110" s="80">
        <v>234</v>
      </c>
      <c r="HX110" s="80"/>
      <c r="IE110" s="80"/>
      <c r="IF110" s="80"/>
      <c r="IG110" s="80"/>
      <c r="IH110" s="80"/>
      <c r="JB110" s="80">
        <v>2</v>
      </c>
      <c r="JC110" s="80">
        <v>87.6</v>
      </c>
      <c r="JE110" s="80">
        <f t="shared" si="29"/>
        <v>45.999999999999993</v>
      </c>
    </row>
    <row r="111" spans="36:281" x14ac:dyDescent="0.2">
      <c r="AN111" s="80"/>
      <c r="AO111" s="80"/>
      <c r="AP111" s="80"/>
      <c r="CK111" s="80">
        <v>12</v>
      </c>
      <c r="CL111" s="80">
        <v>24.1</v>
      </c>
      <c r="GD111" s="80">
        <v>32</v>
      </c>
      <c r="GE111" s="80">
        <v>1.35</v>
      </c>
      <c r="HR111" s="80">
        <v>12</v>
      </c>
      <c r="HS111" s="80">
        <v>232</v>
      </c>
      <c r="HX111" s="80"/>
      <c r="IE111" s="80"/>
      <c r="IF111" s="80"/>
      <c r="IG111" s="80"/>
      <c r="IH111" s="80"/>
      <c r="JB111" s="80">
        <v>4</v>
      </c>
      <c r="JC111" s="80">
        <v>56.6</v>
      </c>
      <c r="JE111" s="80">
        <f t="shared" si="29"/>
        <v>31</v>
      </c>
    </row>
    <row r="112" spans="36:281" x14ac:dyDescent="0.2">
      <c r="AN112" s="80"/>
      <c r="AO112" s="80"/>
      <c r="AP112" s="80"/>
      <c r="CK112" s="80">
        <v>14</v>
      </c>
      <c r="CL112" s="80">
        <v>15.8</v>
      </c>
      <c r="GD112" s="80">
        <v>0</v>
      </c>
      <c r="GE112" s="80">
        <v>0</v>
      </c>
      <c r="HR112" s="80">
        <v>14</v>
      </c>
      <c r="HS112" s="80">
        <v>243</v>
      </c>
      <c r="HX112" s="80"/>
      <c r="IE112" s="80"/>
      <c r="IF112" s="80"/>
      <c r="IG112" s="80"/>
      <c r="IH112" s="80"/>
      <c r="JB112" s="80">
        <v>6</v>
      </c>
      <c r="JC112" s="80">
        <v>40.5</v>
      </c>
      <c r="JE112" s="80">
        <f t="shared" si="29"/>
        <v>25.8</v>
      </c>
    </row>
    <row r="113" spans="3:265" x14ac:dyDescent="0.2">
      <c r="AN113" s="80"/>
      <c r="AO113" s="80"/>
      <c r="AP113" s="80"/>
      <c r="CK113" s="80">
        <v>16</v>
      </c>
      <c r="CL113" s="80">
        <v>10.6</v>
      </c>
      <c r="GD113" s="80">
        <v>2</v>
      </c>
      <c r="GE113" s="80">
        <v>17.100000000000001</v>
      </c>
      <c r="HR113" s="80">
        <v>24</v>
      </c>
      <c r="HS113" s="80">
        <v>157</v>
      </c>
      <c r="HX113" s="80"/>
      <c r="IE113" s="80"/>
      <c r="IF113" s="80"/>
      <c r="IG113" s="80"/>
      <c r="IH113" s="80"/>
      <c r="JB113" s="80">
        <v>8</v>
      </c>
      <c r="JC113" s="80">
        <v>29</v>
      </c>
      <c r="JE113" s="80">
        <f t="shared" si="29"/>
        <v>18</v>
      </c>
    </row>
    <row r="114" spans="3:265" x14ac:dyDescent="0.2">
      <c r="AN114" s="80"/>
      <c r="AO114" s="80"/>
      <c r="AP114" s="80"/>
      <c r="CK114" s="80">
        <v>20</v>
      </c>
      <c r="CL114" s="80">
        <v>6.38</v>
      </c>
      <c r="GD114" s="80">
        <v>3</v>
      </c>
      <c r="GE114" s="80">
        <v>25.7</v>
      </c>
      <c r="HR114" s="80"/>
      <c r="HS114" s="80"/>
      <c r="IE114" s="80"/>
      <c r="IF114" s="80"/>
      <c r="IG114" s="80"/>
      <c r="IH114" s="80"/>
      <c r="JB114" s="80">
        <v>10</v>
      </c>
      <c r="JC114" s="80">
        <v>18.7</v>
      </c>
      <c r="JE114" s="80">
        <f t="shared" si="29"/>
        <v>11.57</v>
      </c>
    </row>
    <row r="115" spans="3:265" x14ac:dyDescent="0.2">
      <c r="AN115" s="80"/>
      <c r="AO115" s="80"/>
      <c r="AP115" s="80"/>
      <c r="CK115" s="80">
        <v>24</v>
      </c>
      <c r="CL115" s="80">
        <v>3.47</v>
      </c>
      <c r="GD115" s="80">
        <v>4</v>
      </c>
      <c r="GE115" s="80">
        <v>42.1</v>
      </c>
      <c r="IE115" s="80"/>
      <c r="IF115" s="80"/>
      <c r="IG115" s="80"/>
      <c r="IH115" s="80"/>
      <c r="JB115" s="80">
        <v>12</v>
      </c>
      <c r="JC115" s="80">
        <v>14.8</v>
      </c>
      <c r="JE115" s="80">
        <f t="shared" si="29"/>
        <v>8.4400000000000013</v>
      </c>
    </row>
    <row r="116" spans="3:265" x14ac:dyDescent="0.2">
      <c r="AN116" s="80"/>
      <c r="AO116" s="80"/>
      <c r="AP116" s="80"/>
      <c r="CK116" s="80">
        <v>30.1</v>
      </c>
      <c r="CL116" s="80">
        <v>1.81</v>
      </c>
      <c r="GD116" s="80">
        <v>6</v>
      </c>
      <c r="GE116" s="80">
        <v>65.5</v>
      </c>
      <c r="IE116" s="80"/>
      <c r="IF116" s="80"/>
      <c r="IG116" s="80"/>
      <c r="IH116" s="80"/>
    </row>
    <row r="117" spans="3:265" x14ac:dyDescent="0.2">
      <c r="AN117" s="80"/>
      <c r="AO117" s="80"/>
      <c r="AP117" s="80"/>
      <c r="CK117" s="80">
        <v>0</v>
      </c>
      <c r="CL117" s="80">
        <v>-0.18099999999999999</v>
      </c>
      <c r="GD117" s="80">
        <v>8</v>
      </c>
      <c r="GE117" s="80">
        <v>83.6</v>
      </c>
      <c r="IE117" s="80"/>
      <c r="IF117" s="80"/>
      <c r="IG117" s="80"/>
      <c r="IH117" s="80"/>
    </row>
    <row r="118" spans="3:265" x14ac:dyDescent="0.2">
      <c r="D118" t="s">
        <v>381</v>
      </c>
      <c r="F118" t="s">
        <v>840</v>
      </c>
      <c r="AN118" s="80"/>
      <c r="AO118" s="80"/>
      <c r="AP118" s="80"/>
      <c r="CK118" s="80">
        <v>0.5</v>
      </c>
      <c r="CL118" s="80">
        <v>5.42</v>
      </c>
      <c r="GD118" s="80">
        <v>10</v>
      </c>
      <c r="GE118" s="80">
        <v>83.8</v>
      </c>
      <c r="IE118" s="80"/>
      <c r="IF118" s="80"/>
      <c r="IG118" s="80"/>
      <c r="IH118" s="80"/>
    </row>
    <row r="119" spans="3:265" x14ac:dyDescent="0.2">
      <c r="C119" s="80" t="s">
        <v>342</v>
      </c>
      <c r="D119" s="80" t="s">
        <v>414</v>
      </c>
      <c r="AN119" s="80"/>
      <c r="AO119" s="80"/>
      <c r="AP119" s="80"/>
      <c r="CK119" s="80">
        <v>1</v>
      </c>
      <c r="CL119" s="80">
        <v>19.3</v>
      </c>
      <c r="GD119" s="80">
        <v>12</v>
      </c>
      <c r="GE119" s="80">
        <v>75.7</v>
      </c>
      <c r="IE119" s="80"/>
      <c r="IF119" s="80"/>
      <c r="IG119" s="80"/>
      <c r="IH119" s="80"/>
    </row>
    <row r="120" spans="3:265" x14ac:dyDescent="0.2">
      <c r="C120" s="80">
        <v>0</v>
      </c>
      <c r="D120" s="80">
        <v>0</v>
      </c>
      <c r="E120" t="s">
        <v>354</v>
      </c>
      <c r="F120" s="20">
        <f>0.2674*D120</f>
        <v>0</v>
      </c>
      <c r="G120" s="20">
        <v>0</v>
      </c>
      <c r="AN120" s="80"/>
      <c r="AO120" s="80"/>
      <c r="AP120" s="80"/>
      <c r="CK120" s="80">
        <v>1.5</v>
      </c>
      <c r="CL120" s="80">
        <v>30.7</v>
      </c>
      <c r="GD120" s="80">
        <v>15</v>
      </c>
      <c r="GE120" s="80">
        <v>46.4</v>
      </c>
      <c r="IE120" s="80"/>
      <c r="IF120" s="80"/>
      <c r="IG120" s="80"/>
      <c r="IH120" s="80"/>
    </row>
    <row r="121" spans="3:265" x14ac:dyDescent="0.2">
      <c r="C121" s="80">
        <v>0.502</v>
      </c>
      <c r="D121" s="80">
        <v>185</v>
      </c>
      <c r="F121" s="20">
        <f t="shared" ref="F121:F184" si="30">0.2674*D121</f>
        <v>49.469000000000008</v>
      </c>
      <c r="G121" s="20">
        <v>49.469000000000008</v>
      </c>
      <c r="AN121" s="80"/>
      <c r="AO121" s="80"/>
      <c r="AP121" s="80"/>
      <c r="CK121" s="80">
        <v>2</v>
      </c>
      <c r="CL121" s="80">
        <v>39.200000000000003</v>
      </c>
      <c r="GD121" s="80">
        <v>18</v>
      </c>
      <c r="GE121" s="80">
        <v>27.7</v>
      </c>
      <c r="IE121" s="80"/>
      <c r="IF121" s="80"/>
    </row>
    <row r="122" spans="3:265" x14ac:dyDescent="0.2">
      <c r="C122" s="80">
        <v>1</v>
      </c>
      <c r="D122" s="80">
        <v>303</v>
      </c>
      <c r="F122" s="20">
        <f t="shared" si="30"/>
        <v>81.022200000000012</v>
      </c>
      <c r="G122" s="20">
        <v>81.022200000000012</v>
      </c>
      <c r="AN122" s="80"/>
      <c r="AO122" s="80"/>
      <c r="AP122" s="80"/>
      <c r="CK122" s="80">
        <v>3</v>
      </c>
      <c r="CL122" s="80">
        <v>56.5</v>
      </c>
      <c r="GD122" s="80">
        <v>21</v>
      </c>
      <c r="GE122" s="80">
        <v>14.9</v>
      </c>
      <c r="IE122" s="80"/>
      <c r="IF122" s="80"/>
    </row>
    <row r="123" spans="3:265" x14ac:dyDescent="0.2">
      <c r="C123" s="80">
        <v>1.5</v>
      </c>
      <c r="D123" s="80">
        <v>327</v>
      </c>
      <c r="F123" s="20">
        <f t="shared" si="30"/>
        <v>87.439800000000005</v>
      </c>
      <c r="G123" s="20">
        <v>87.439800000000005</v>
      </c>
      <c r="AN123" s="80"/>
      <c r="AO123" s="80"/>
      <c r="AP123" s="80"/>
      <c r="CK123" s="80">
        <v>4</v>
      </c>
      <c r="CL123" s="80">
        <v>62.1</v>
      </c>
      <c r="GD123" s="80">
        <v>24</v>
      </c>
      <c r="GE123" s="80">
        <v>8.7799999999999994</v>
      </c>
      <c r="IE123" s="80"/>
      <c r="IF123" s="80"/>
    </row>
    <row r="124" spans="3:265" x14ac:dyDescent="0.2">
      <c r="C124" s="80">
        <v>2</v>
      </c>
      <c r="D124" s="80">
        <v>320</v>
      </c>
      <c r="F124" s="20">
        <f t="shared" si="30"/>
        <v>85.568000000000012</v>
      </c>
      <c r="G124" s="20">
        <v>85.568000000000012</v>
      </c>
      <c r="AN124" s="80"/>
      <c r="AO124" s="80"/>
      <c r="AP124" s="80"/>
      <c r="CK124" s="80">
        <v>6</v>
      </c>
      <c r="CL124" s="80">
        <v>64.599999999999994</v>
      </c>
      <c r="GD124" s="80">
        <v>28</v>
      </c>
      <c r="GE124" s="80">
        <v>2.7</v>
      </c>
      <c r="IE124" s="80"/>
      <c r="IF124" s="80"/>
    </row>
    <row r="125" spans="3:265" x14ac:dyDescent="0.2">
      <c r="C125" s="80">
        <v>3</v>
      </c>
      <c r="D125" s="80">
        <v>275</v>
      </c>
      <c r="F125" s="20">
        <f t="shared" si="30"/>
        <v>73.535000000000011</v>
      </c>
      <c r="G125" s="20">
        <v>73.535000000000011</v>
      </c>
      <c r="AN125" s="80"/>
      <c r="AO125" s="80"/>
      <c r="AP125" s="80"/>
      <c r="CK125" s="80">
        <v>8</v>
      </c>
      <c r="CL125" s="80">
        <v>54.9</v>
      </c>
      <c r="GD125" s="80">
        <v>32</v>
      </c>
      <c r="GE125" s="80">
        <v>1.35</v>
      </c>
      <c r="IE125" s="80"/>
      <c r="IF125" s="80"/>
    </row>
    <row r="126" spans="3:265" x14ac:dyDescent="0.2">
      <c r="C126" s="80">
        <v>4</v>
      </c>
      <c r="D126" s="80">
        <v>240</v>
      </c>
      <c r="F126" s="20">
        <f t="shared" si="30"/>
        <v>64.176000000000002</v>
      </c>
      <c r="G126" s="20">
        <v>64.176000000000002</v>
      </c>
      <c r="CK126" s="80">
        <v>10</v>
      </c>
      <c r="CL126" s="80">
        <v>38.200000000000003</v>
      </c>
      <c r="IE126" s="80"/>
      <c r="IF126" s="80"/>
    </row>
    <row r="127" spans="3:265" x14ac:dyDescent="0.2">
      <c r="C127" s="80">
        <v>5</v>
      </c>
      <c r="D127" s="80">
        <v>203</v>
      </c>
      <c r="F127" s="20">
        <f t="shared" si="30"/>
        <v>54.282200000000003</v>
      </c>
      <c r="G127" s="20">
        <v>54.282200000000003</v>
      </c>
      <c r="CK127" s="80">
        <v>12</v>
      </c>
      <c r="CL127" s="80">
        <v>28.3</v>
      </c>
      <c r="IE127" s="80"/>
      <c r="IF127" s="80"/>
    </row>
    <row r="128" spans="3:265" x14ac:dyDescent="0.2">
      <c r="C128" s="80">
        <v>6</v>
      </c>
      <c r="D128" s="80">
        <v>199</v>
      </c>
      <c r="F128" s="20">
        <f t="shared" si="30"/>
        <v>53.212600000000002</v>
      </c>
      <c r="G128" s="20">
        <v>53.212600000000002</v>
      </c>
      <c r="CK128" s="80">
        <v>14</v>
      </c>
      <c r="CL128" s="80">
        <v>19.8</v>
      </c>
      <c r="IE128" s="80"/>
      <c r="IF128" s="80"/>
    </row>
    <row r="129" spans="3:240" x14ac:dyDescent="0.2">
      <c r="C129" s="80">
        <v>7</v>
      </c>
      <c r="D129" s="80">
        <v>150</v>
      </c>
      <c r="F129" s="20">
        <f t="shared" si="30"/>
        <v>40.110000000000007</v>
      </c>
      <c r="G129" s="20">
        <v>40.110000000000007</v>
      </c>
      <c r="CK129" s="80">
        <v>16</v>
      </c>
      <c r="CL129" s="80">
        <v>13.8</v>
      </c>
      <c r="IE129" s="80"/>
      <c r="IF129" s="80"/>
    </row>
    <row r="130" spans="3:240" x14ac:dyDescent="0.2">
      <c r="C130" s="80">
        <v>8</v>
      </c>
      <c r="D130" s="80">
        <v>126</v>
      </c>
      <c r="F130" s="20">
        <f t="shared" si="30"/>
        <v>33.692400000000006</v>
      </c>
      <c r="G130" s="20">
        <v>33.692400000000006</v>
      </c>
      <c r="CK130" s="80">
        <v>20</v>
      </c>
      <c r="CL130" s="80">
        <v>7.11</v>
      </c>
      <c r="IE130" s="80"/>
      <c r="IF130" s="80"/>
    </row>
    <row r="131" spans="3:240" x14ac:dyDescent="0.2">
      <c r="C131" s="80">
        <v>10</v>
      </c>
      <c r="D131" s="80">
        <v>90.3</v>
      </c>
      <c r="F131" s="20">
        <f t="shared" si="30"/>
        <v>24.146220000000003</v>
      </c>
      <c r="G131" s="20">
        <v>24.146220000000003</v>
      </c>
      <c r="CK131" s="80">
        <v>24</v>
      </c>
      <c r="CL131" s="80">
        <v>4.1900000000000004</v>
      </c>
      <c r="IE131" s="80"/>
      <c r="IF131" s="80"/>
    </row>
    <row r="132" spans="3:240" x14ac:dyDescent="0.2">
      <c r="C132" s="80">
        <v>12</v>
      </c>
      <c r="D132" s="80">
        <v>62.7</v>
      </c>
      <c r="F132" s="20">
        <f t="shared" si="30"/>
        <v>16.765980000000003</v>
      </c>
      <c r="G132" s="20">
        <v>16.765980000000003</v>
      </c>
      <c r="CK132" s="80">
        <v>30</v>
      </c>
      <c r="CL132" s="80">
        <v>2.35</v>
      </c>
      <c r="IE132" s="80"/>
      <c r="IF132" s="80"/>
    </row>
    <row r="133" spans="3:240" x14ac:dyDescent="0.2">
      <c r="C133" s="80">
        <v>14</v>
      </c>
      <c r="D133" s="80">
        <v>53.1</v>
      </c>
      <c r="F133" s="20">
        <f t="shared" si="30"/>
        <v>14.198940000000002</v>
      </c>
      <c r="G133" s="20">
        <v>14.198940000000002</v>
      </c>
      <c r="IE133" s="80"/>
      <c r="IF133" s="80"/>
    </row>
    <row r="134" spans="3:240" x14ac:dyDescent="0.2">
      <c r="C134" s="80">
        <v>24</v>
      </c>
      <c r="D134" s="80">
        <v>15.8</v>
      </c>
      <c r="F134" s="20">
        <f t="shared" si="30"/>
        <v>4.2249200000000009</v>
      </c>
      <c r="G134" s="20">
        <v>4.2249200000000009</v>
      </c>
    </row>
    <row r="135" spans="3:240" x14ac:dyDescent="0.2">
      <c r="C135" s="80">
        <v>28</v>
      </c>
      <c r="D135" s="80">
        <v>9.65</v>
      </c>
      <c r="F135" s="20">
        <f t="shared" si="30"/>
        <v>2.5804100000000005</v>
      </c>
      <c r="G135" s="20">
        <v>2.5804100000000005</v>
      </c>
    </row>
    <row r="136" spans="3:240" x14ac:dyDescent="0.2">
      <c r="C136" s="80">
        <v>32</v>
      </c>
      <c r="D136" s="80">
        <v>5.51</v>
      </c>
      <c r="F136" s="20">
        <f t="shared" si="30"/>
        <v>1.4733740000000002</v>
      </c>
      <c r="G136" s="20">
        <v>1.4733740000000002</v>
      </c>
    </row>
    <row r="137" spans="3:240" x14ac:dyDescent="0.2">
      <c r="C137" s="80">
        <v>0</v>
      </c>
      <c r="D137" s="80">
        <v>6.89</v>
      </c>
      <c r="E137" t="s">
        <v>838</v>
      </c>
      <c r="F137" s="20">
        <f t="shared" si="30"/>
        <v>1.8423860000000001</v>
      </c>
      <c r="G137" s="20">
        <v>1.8423860000000001</v>
      </c>
    </row>
    <row r="138" spans="3:240" x14ac:dyDescent="0.2">
      <c r="C138" s="80">
        <v>0.5</v>
      </c>
      <c r="D138" s="80">
        <v>13.1</v>
      </c>
      <c r="F138" s="20">
        <f t="shared" si="30"/>
        <v>3.5029400000000002</v>
      </c>
      <c r="G138" s="20">
        <v>3.5029400000000002</v>
      </c>
    </row>
    <row r="139" spans="3:240" x14ac:dyDescent="0.2">
      <c r="C139" s="80">
        <v>1</v>
      </c>
      <c r="D139" s="80">
        <v>27.6</v>
      </c>
      <c r="F139" s="20">
        <f t="shared" si="30"/>
        <v>7.3802400000000015</v>
      </c>
      <c r="G139" s="20">
        <v>7.3802400000000015</v>
      </c>
    </row>
    <row r="140" spans="3:240" x14ac:dyDescent="0.2">
      <c r="C140" s="80">
        <v>1.5</v>
      </c>
      <c r="D140" s="80">
        <v>42.7</v>
      </c>
      <c r="F140" s="20">
        <f t="shared" si="30"/>
        <v>11.417980000000002</v>
      </c>
      <c r="G140" s="20">
        <v>11.417980000000002</v>
      </c>
    </row>
    <row r="141" spans="3:240" x14ac:dyDescent="0.2">
      <c r="C141" s="80">
        <v>2</v>
      </c>
      <c r="D141" s="80">
        <v>71</v>
      </c>
      <c r="F141" s="20">
        <f t="shared" si="30"/>
        <v>18.985400000000002</v>
      </c>
      <c r="G141" s="20">
        <v>18.985400000000002</v>
      </c>
    </row>
    <row r="142" spans="3:240" x14ac:dyDescent="0.2">
      <c r="C142" s="80">
        <v>3</v>
      </c>
      <c r="D142" s="80">
        <v>132</v>
      </c>
      <c r="F142" s="20">
        <f t="shared" si="30"/>
        <v>35.296800000000005</v>
      </c>
      <c r="G142" s="20">
        <v>35.296800000000005</v>
      </c>
    </row>
    <row r="143" spans="3:240" x14ac:dyDescent="0.2">
      <c r="C143" s="80">
        <v>4</v>
      </c>
      <c r="D143" s="80">
        <v>174</v>
      </c>
      <c r="F143" s="20">
        <f t="shared" si="30"/>
        <v>46.527600000000007</v>
      </c>
      <c r="G143" s="20">
        <v>46.527600000000007</v>
      </c>
    </row>
    <row r="144" spans="3:240" x14ac:dyDescent="0.2">
      <c r="C144" s="80">
        <v>5</v>
      </c>
      <c r="D144" s="80">
        <v>185</v>
      </c>
      <c r="F144" s="20">
        <f t="shared" si="30"/>
        <v>49.469000000000008</v>
      </c>
      <c r="G144" s="20">
        <v>49.469000000000008</v>
      </c>
    </row>
    <row r="145" spans="3:7" x14ac:dyDescent="0.2">
      <c r="C145" s="80">
        <v>6</v>
      </c>
      <c r="D145" s="80">
        <v>185</v>
      </c>
      <c r="F145" s="20">
        <f t="shared" si="30"/>
        <v>49.469000000000008</v>
      </c>
      <c r="G145" s="20">
        <v>49.469000000000008</v>
      </c>
    </row>
    <row r="146" spans="3:7" x14ac:dyDescent="0.2">
      <c r="C146" s="80">
        <v>7</v>
      </c>
      <c r="D146" s="80">
        <v>181</v>
      </c>
      <c r="F146" s="20">
        <f t="shared" si="30"/>
        <v>48.399400000000007</v>
      </c>
      <c r="G146" s="20">
        <v>48.399400000000007</v>
      </c>
    </row>
    <row r="147" spans="3:7" x14ac:dyDescent="0.2">
      <c r="C147" s="80">
        <v>8</v>
      </c>
      <c r="D147" s="80">
        <v>149</v>
      </c>
      <c r="F147" s="20">
        <f t="shared" si="30"/>
        <v>39.842600000000004</v>
      </c>
      <c r="G147" s="20">
        <v>39.842600000000004</v>
      </c>
    </row>
    <row r="148" spans="3:7" x14ac:dyDescent="0.2">
      <c r="C148" s="80">
        <v>10</v>
      </c>
      <c r="D148" s="80">
        <v>111</v>
      </c>
      <c r="F148" s="20">
        <f t="shared" si="30"/>
        <v>29.681400000000004</v>
      </c>
      <c r="G148" s="20">
        <v>29.681400000000004</v>
      </c>
    </row>
    <row r="149" spans="3:7" x14ac:dyDescent="0.2">
      <c r="C149" s="80">
        <v>12</v>
      </c>
      <c r="D149" s="80">
        <v>88.9</v>
      </c>
      <c r="F149" s="20">
        <f t="shared" si="30"/>
        <v>23.771860000000004</v>
      </c>
      <c r="G149" s="20">
        <v>23.771860000000004</v>
      </c>
    </row>
    <row r="150" spans="3:7" x14ac:dyDescent="0.2">
      <c r="C150" s="80">
        <v>14</v>
      </c>
      <c r="D150" s="80">
        <v>62.7</v>
      </c>
      <c r="F150" s="20">
        <f t="shared" si="30"/>
        <v>16.765980000000003</v>
      </c>
      <c r="G150" s="20">
        <v>16.765980000000003</v>
      </c>
    </row>
    <row r="151" spans="3:7" x14ac:dyDescent="0.2">
      <c r="C151" s="80">
        <v>24</v>
      </c>
      <c r="D151" s="80">
        <v>23.4</v>
      </c>
      <c r="F151" s="20">
        <f t="shared" si="30"/>
        <v>6.2571599999999998</v>
      </c>
      <c r="G151" s="20">
        <v>6.2571599999999998</v>
      </c>
    </row>
    <row r="152" spans="3:7" x14ac:dyDescent="0.2">
      <c r="C152" s="80">
        <v>28</v>
      </c>
      <c r="D152" s="80">
        <v>17.899999999999999</v>
      </c>
      <c r="F152" s="20">
        <f t="shared" si="30"/>
        <v>4.7864599999999999</v>
      </c>
      <c r="G152" s="20">
        <v>4.7864599999999999</v>
      </c>
    </row>
    <row r="153" spans="3:7" x14ac:dyDescent="0.2">
      <c r="C153" s="80">
        <v>32</v>
      </c>
      <c r="D153" s="80">
        <v>12.4</v>
      </c>
      <c r="F153" s="20">
        <f t="shared" si="30"/>
        <v>3.3157600000000005</v>
      </c>
      <c r="G153" s="20">
        <v>3.3157600000000005</v>
      </c>
    </row>
    <row r="154" spans="3:7" x14ac:dyDescent="0.2">
      <c r="C154" s="80">
        <v>0</v>
      </c>
      <c r="D154" s="80">
        <v>4.13</v>
      </c>
      <c r="E154" t="s">
        <v>839</v>
      </c>
      <c r="F154" s="20">
        <f t="shared" si="30"/>
        <v>1.1043620000000001</v>
      </c>
      <c r="G154" s="20">
        <v>1.1043620000000001</v>
      </c>
    </row>
    <row r="155" spans="3:7" x14ac:dyDescent="0.2">
      <c r="C155" s="80">
        <v>0.5</v>
      </c>
      <c r="D155" s="80">
        <v>87.5</v>
      </c>
      <c r="F155" s="20">
        <f t="shared" si="30"/>
        <v>23.397500000000001</v>
      </c>
      <c r="G155" s="20">
        <v>23.397500000000001</v>
      </c>
    </row>
    <row r="156" spans="3:7" x14ac:dyDescent="0.2">
      <c r="C156" s="80">
        <v>1</v>
      </c>
      <c r="D156" s="80">
        <v>157</v>
      </c>
      <c r="F156" s="20">
        <f t="shared" si="30"/>
        <v>41.981800000000007</v>
      </c>
      <c r="G156" s="20">
        <v>41.981800000000007</v>
      </c>
    </row>
    <row r="157" spans="3:7" x14ac:dyDescent="0.2">
      <c r="C157" s="80">
        <v>1.5</v>
      </c>
      <c r="D157" s="80">
        <v>172</v>
      </c>
      <c r="F157" s="20">
        <f t="shared" si="30"/>
        <v>45.992800000000003</v>
      </c>
      <c r="G157" s="20">
        <v>45.992800000000003</v>
      </c>
    </row>
    <row r="158" spans="3:7" x14ac:dyDescent="0.2">
      <c r="C158" s="80">
        <v>2</v>
      </c>
      <c r="D158" s="80">
        <v>158</v>
      </c>
      <c r="F158" s="20">
        <f t="shared" si="30"/>
        <v>42.249200000000002</v>
      </c>
      <c r="G158" s="20">
        <v>42.249200000000002</v>
      </c>
    </row>
    <row r="159" spans="3:7" x14ac:dyDescent="0.2">
      <c r="C159" s="80">
        <v>3</v>
      </c>
      <c r="D159" s="80">
        <v>135</v>
      </c>
      <c r="F159" s="20">
        <f t="shared" si="30"/>
        <v>36.099000000000004</v>
      </c>
      <c r="G159" s="20">
        <v>36.099000000000004</v>
      </c>
    </row>
    <row r="160" spans="3:7" x14ac:dyDescent="0.2">
      <c r="C160" s="80">
        <v>4</v>
      </c>
      <c r="D160" s="80">
        <v>112</v>
      </c>
      <c r="F160" s="20">
        <f t="shared" si="30"/>
        <v>29.948800000000002</v>
      </c>
      <c r="G160" s="20">
        <v>29.948800000000002</v>
      </c>
    </row>
    <row r="161" spans="3:7" x14ac:dyDescent="0.2">
      <c r="C161" s="80">
        <v>5</v>
      </c>
      <c r="D161" s="80">
        <v>93</v>
      </c>
      <c r="F161" s="20">
        <f t="shared" si="30"/>
        <v>24.868200000000002</v>
      </c>
      <c r="G161" s="20">
        <v>24.868200000000002</v>
      </c>
    </row>
    <row r="162" spans="3:7" x14ac:dyDescent="0.2">
      <c r="C162" s="80">
        <v>6</v>
      </c>
      <c r="D162" s="80">
        <v>116</v>
      </c>
      <c r="F162" s="20">
        <f t="shared" si="30"/>
        <v>31.018400000000003</v>
      </c>
      <c r="G162" s="20">
        <v>31.018400000000003</v>
      </c>
    </row>
    <row r="163" spans="3:7" x14ac:dyDescent="0.2">
      <c r="C163" s="80">
        <v>7</v>
      </c>
      <c r="D163" s="80">
        <v>138</v>
      </c>
      <c r="F163" s="20">
        <f t="shared" si="30"/>
        <v>36.901200000000003</v>
      </c>
      <c r="G163" s="20">
        <v>36.901200000000003</v>
      </c>
    </row>
    <row r="164" spans="3:7" x14ac:dyDescent="0.2">
      <c r="C164" s="80">
        <v>8</v>
      </c>
      <c r="D164" s="80">
        <v>110</v>
      </c>
      <c r="F164" s="20">
        <f t="shared" si="30"/>
        <v>29.414000000000001</v>
      </c>
      <c r="G164" s="20">
        <v>29.414000000000001</v>
      </c>
    </row>
    <row r="165" spans="3:7" x14ac:dyDescent="0.2">
      <c r="C165" s="80">
        <v>10</v>
      </c>
      <c r="D165" s="80">
        <v>83.4</v>
      </c>
      <c r="F165" s="20">
        <f t="shared" si="30"/>
        <v>22.301160000000003</v>
      </c>
      <c r="G165" s="20">
        <v>22.301160000000003</v>
      </c>
    </row>
    <row r="166" spans="3:7" x14ac:dyDescent="0.2">
      <c r="C166" s="80">
        <v>12</v>
      </c>
      <c r="D166" s="80">
        <v>72.3</v>
      </c>
      <c r="F166" s="20">
        <f t="shared" si="30"/>
        <v>19.333020000000001</v>
      </c>
      <c r="G166" s="20">
        <v>19.333020000000001</v>
      </c>
    </row>
    <row r="167" spans="3:7" x14ac:dyDescent="0.2">
      <c r="C167" s="80">
        <v>14</v>
      </c>
      <c r="D167" s="80">
        <v>53.1</v>
      </c>
      <c r="F167" s="20">
        <f t="shared" si="30"/>
        <v>14.198940000000002</v>
      </c>
      <c r="G167" s="20">
        <v>14.198940000000002</v>
      </c>
    </row>
    <row r="168" spans="3:7" x14ac:dyDescent="0.2">
      <c r="C168" s="80">
        <v>24</v>
      </c>
      <c r="D168" s="80">
        <v>15.2</v>
      </c>
      <c r="F168" s="20">
        <f t="shared" si="30"/>
        <v>4.0644800000000005</v>
      </c>
      <c r="G168" s="20">
        <v>4.0644800000000005</v>
      </c>
    </row>
    <row r="169" spans="3:7" x14ac:dyDescent="0.2">
      <c r="C169" s="80">
        <v>28</v>
      </c>
      <c r="D169" s="80">
        <v>11.7</v>
      </c>
      <c r="F169" s="20">
        <f t="shared" si="30"/>
        <v>3.1285799999999999</v>
      </c>
      <c r="G169" s="20">
        <v>3.1285799999999999</v>
      </c>
    </row>
    <row r="170" spans="3:7" x14ac:dyDescent="0.2">
      <c r="C170" s="80">
        <v>32</v>
      </c>
      <c r="D170" s="80">
        <v>5.51</v>
      </c>
      <c r="F170" s="20">
        <f t="shared" si="30"/>
        <v>1.4733740000000002</v>
      </c>
      <c r="G170" s="20">
        <v>1.4733740000000002</v>
      </c>
    </row>
    <row r="171" spans="3:7" x14ac:dyDescent="0.2">
      <c r="C171" s="80">
        <v>0</v>
      </c>
      <c r="D171" s="80">
        <v>6.2</v>
      </c>
      <c r="E171">
        <v>14</v>
      </c>
      <c r="F171" s="20">
        <f t="shared" si="30"/>
        <v>1.6578800000000002</v>
      </c>
      <c r="G171" s="20">
        <v>1.6578800000000002</v>
      </c>
    </row>
    <row r="172" spans="3:7" x14ac:dyDescent="0.2">
      <c r="C172" s="80">
        <v>0.5</v>
      </c>
      <c r="D172" s="80">
        <v>14.5</v>
      </c>
      <c r="F172" s="20">
        <f t="shared" si="30"/>
        <v>3.8773000000000004</v>
      </c>
      <c r="G172" s="20">
        <v>3.8773000000000004</v>
      </c>
    </row>
    <row r="173" spans="3:7" x14ac:dyDescent="0.2">
      <c r="C173" s="80">
        <v>1</v>
      </c>
      <c r="D173" s="80">
        <v>20.7</v>
      </c>
      <c r="F173" s="20">
        <f t="shared" si="30"/>
        <v>5.5351800000000004</v>
      </c>
      <c r="G173" s="20">
        <v>5.5351800000000004</v>
      </c>
    </row>
    <row r="174" spans="3:7" x14ac:dyDescent="0.2">
      <c r="C174" s="80">
        <v>1.5</v>
      </c>
      <c r="D174" s="80">
        <v>28.2</v>
      </c>
      <c r="F174" s="20">
        <f t="shared" si="30"/>
        <v>7.5406800000000009</v>
      </c>
      <c r="G174" s="20">
        <v>7.5406800000000009</v>
      </c>
    </row>
    <row r="175" spans="3:7" x14ac:dyDescent="0.2">
      <c r="C175" s="80">
        <v>2</v>
      </c>
      <c r="D175" s="80">
        <v>37.9</v>
      </c>
      <c r="F175" s="20">
        <f t="shared" si="30"/>
        <v>10.134460000000001</v>
      </c>
      <c r="G175" s="20">
        <v>10.134460000000001</v>
      </c>
    </row>
    <row r="176" spans="3:7" x14ac:dyDescent="0.2">
      <c r="C176" s="80">
        <v>3</v>
      </c>
      <c r="D176" s="80">
        <v>52.4</v>
      </c>
      <c r="F176" s="20">
        <f t="shared" si="30"/>
        <v>14.011760000000001</v>
      </c>
      <c r="G176" s="20">
        <v>14.011760000000001</v>
      </c>
    </row>
    <row r="177" spans="3:7" x14ac:dyDescent="0.2">
      <c r="C177" s="80">
        <v>4</v>
      </c>
      <c r="D177" s="80">
        <v>73.7</v>
      </c>
      <c r="F177" s="20">
        <f t="shared" si="30"/>
        <v>19.707380000000004</v>
      </c>
      <c r="G177" s="20">
        <v>19.707380000000004</v>
      </c>
    </row>
    <row r="178" spans="3:7" x14ac:dyDescent="0.2">
      <c r="C178" s="80">
        <v>5</v>
      </c>
      <c r="D178" s="80">
        <v>85.4</v>
      </c>
      <c r="F178" s="20">
        <f t="shared" si="30"/>
        <v>22.835960000000004</v>
      </c>
      <c r="G178" s="20">
        <v>22.835960000000004</v>
      </c>
    </row>
    <row r="179" spans="3:7" x14ac:dyDescent="0.2">
      <c r="C179" s="80">
        <v>6</v>
      </c>
      <c r="D179" s="80">
        <v>96.5</v>
      </c>
      <c r="F179" s="20">
        <f t="shared" si="30"/>
        <v>25.804100000000002</v>
      </c>
      <c r="G179" s="20">
        <v>25.804100000000002</v>
      </c>
    </row>
    <row r="180" spans="3:7" x14ac:dyDescent="0.2">
      <c r="C180" s="80">
        <v>7</v>
      </c>
      <c r="D180" s="80">
        <v>102</v>
      </c>
      <c r="F180" s="20">
        <f t="shared" si="30"/>
        <v>27.274800000000003</v>
      </c>
      <c r="G180" s="20">
        <v>27.274800000000003</v>
      </c>
    </row>
    <row r="181" spans="3:7" x14ac:dyDescent="0.2">
      <c r="C181" s="80">
        <v>8</v>
      </c>
      <c r="D181" s="80">
        <v>107</v>
      </c>
      <c r="F181" s="20">
        <f t="shared" si="30"/>
        <v>28.611800000000002</v>
      </c>
      <c r="G181" s="20">
        <v>28.611800000000002</v>
      </c>
    </row>
    <row r="182" spans="3:7" x14ac:dyDescent="0.2">
      <c r="C182" s="80">
        <v>10</v>
      </c>
      <c r="D182" s="80">
        <v>117</v>
      </c>
      <c r="F182" s="20">
        <f t="shared" si="30"/>
        <v>31.285800000000002</v>
      </c>
      <c r="G182" s="20">
        <v>31.285800000000002</v>
      </c>
    </row>
    <row r="183" spans="3:7" x14ac:dyDescent="0.2">
      <c r="C183" s="80">
        <v>12</v>
      </c>
      <c r="D183" s="80">
        <v>122</v>
      </c>
      <c r="F183" s="20">
        <f t="shared" si="30"/>
        <v>32.622800000000005</v>
      </c>
      <c r="G183" s="20">
        <v>32.622800000000005</v>
      </c>
    </row>
    <row r="184" spans="3:7" x14ac:dyDescent="0.2">
      <c r="C184" s="80">
        <v>14</v>
      </c>
      <c r="D184" s="80">
        <v>124</v>
      </c>
      <c r="F184" s="20">
        <f t="shared" si="30"/>
        <v>33.157600000000002</v>
      </c>
      <c r="G184" s="20">
        <v>33.157600000000002</v>
      </c>
    </row>
    <row r="185" spans="3:7" x14ac:dyDescent="0.2">
      <c r="C185" s="80">
        <v>24</v>
      </c>
      <c r="D185" s="80">
        <v>53.1</v>
      </c>
      <c r="F185" s="20">
        <f t="shared" ref="F185:F187" si="31">0.2674*D185</f>
        <v>14.198940000000002</v>
      </c>
      <c r="G185" s="20">
        <v>14.198940000000002</v>
      </c>
    </row>
    <row r="186" spans="3:7" x14ac:dyDescent="0.2">
      <c r="C186" s="80">
        <v>28</v>
      </c>
      <c r="D186" s="80">
        <v>32.4</v>
      </c>
      <c r="F186" s="20">
        <f t="shared" si="31"/>
        <v>8.6637599999999999</v>
      </c>
      <c r="G186" s="20">
        <v>8.6637599999999999</v>
      </c>
    </row>
    <row r="187" spans="3:7" x14ac:dyDescent="0.2">
      <c r="C187" s="80">
        <v>32</v>
      </c>
      <c r="D187" s="80">
        <v>17.899999999999999</v>
      </c>
      <c r="F187" s="20">
        <f t="shared" si="31"/>
        <v>4.7864599999999999</v>
      </c>
      <c r="G187" s="20">
        <v>4.7864599999999999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99"/>
  <sheetViews>
    <sheetView zoomScale="98" zoomScaleNormal="98" workbookViewId="0">
      <pane xSplit="1" topLeftCell="B1" activePane="topRight" state="frozen"/>
      <selection activeCell="A16" sqref="A16"/>
      <selection pane="topRight" activeCell="AJ95" sqref="AJ95"/>
    </sheetView>
  </sheetViews>
  <sheetFormatPr defaultColWidth="10.625" defaultRowHeight="14.25" x14ac:dyDescent="0.2"/>
  <cols>
    <col min="1" max="1" width="14.25" style="98" customWidth="1"/>
    <col min="2" max="2" width="8.25" style="98" customWidth="1"/>
    <col min="3" max="52" width="7.75" style="98" customWidth="1"/>
    <col min="53" max="53" width="9.625" style="98" customWidth="1"/>
    <col min="54" max="54" width="9.25" style="98" customWidth="1"/>
    <col min="55" max="81" width="7.75" style="98" customWidth="1"/>
    <col min="82" max="16384" width="10.625" style="98"/>
  </cols>
  <sheetData>
    <row r="1" spans="1:71" ht="15" x14ac:dyDescent="0.2">
      <c r="A1" s="97" t="s">
        <v>8</v>
      </c>
    </row>
    <row r="3" spans="1:71" ht="15" x14ac:dyDescent="0.2">
      <c r="A3" s="99" t="s">
        <v>35</v>
      </c>
      <c r="B3" s="100" t="str">
        <f>HYPERLINK(Path&amp;"1-s2.0-S0168365915301255-main-Soederlind2015-metoprolol-IntelliCap.pdf", "Söderlind2015")</f>
        <v>Söderlind2015</v>
      </c>
      <c r="C3" s="101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15"/>
      <c r="R3" s="102"/>
      <c r="AK3" s="15"/>
      <c r="AL3" s="103"/>
      <c r="AZ3"/>
      <c r="BA3"/>
      <c r="BB3"/>
      <c r="BC3"/>
      <c r="BD3"/>
      <c r="BE3"/>
      <c r="BF3"/>
      <c r="BG3"/>
      <c r="BH3"/>
    </row>
    <row r="4" spans="1:71" ht="15" x14ac:dyDescent="0.2">
      <c r="A4" s="104" t="s">
        <v>117</v>
      </c>
      <c r="B4" s="148"/>
      <c r="Q4" s="14"/>
      <c r="AK4" s="14"/>
      <c r="AZ4" t="s">
        <v>564</v>
      </c>
      <c r="BA4"/>
      <c r="BB4"/>
      <c r="BC4"/>
      <c r="BD4"/>
      <c r="BE4"/>
      <c r="BF4"/>
      <c r="BG4"/>
      <c r="BH4"/>
    </row>
    <row r="5" spans="1:71" ht="15" x14ac:dyDescent="0.2">
      <c r="A5" s="99" t="s">
        <v>118</v>
      </c>
      <c r="B5" s="148"/>
      <c r="C5" s="83"/>
      <c r="Q5" s="107"/>
      <c r="R5" s="83"/>
      <c r="AK5" s="107"/>
      <c r="AZ5" s="37" t="str">
        <f>HYPERLINK(Path&amp;"[first_author]_A-new-slow-release-formulation-of-metoprolol-in-vitro-and-in-vivo-evaluation-in-dogs_1993.pdf", "Albin1993")</f>
        <v>Albin1993</v>
      </c>
      <c r="BA5"/>
      <c r="BB5"/>
      <c r="BC5"/>
      <c r="BD5"/>
      <c r="BE5"/>
      <c r="BF5"/>
      <c r="BG5"/>
      <c r="BH5"/>
    </row>
    <row r="6" spans="1:71" ht="15" x14ac:dyDescent="0.2">
      <c r="A6" s="104" t="s">
        <v>119</v>
      </c>
      <c r="B6" s="148"/>
      <c r="Q6" s="107"/>
      <c r="R6" s="83"/>
      <c r="AK6" s="107"/>
      <c r="AZ6"/>
      <c r="BA6"/>
      <c r="BB6"/>
      <c r="BC6"/>
      <c r="BD6"/>
      <c r="BE6"/>
      <c r="BF6"/>
      <c r="BG6"/>
      <c r="BH6"/>
    </row>
    <row r="7" spans="1:71" ht="15" x14ac:dyDescent="0.2">
      <c r="A7" s="99" t="s">
        <v>120</v>
      </c>
      <c r="B7" s="105"/>
      <c r="Q7" s="107"/>
      <c r="R7" s="83"/>
      <c r="AK7" s="107"/>
      <c r="AZ7"/>
      <c r="BA7"/>
      <c r="BB7"/>
      <c r="BC7"/>
      <c r="BD7"/>
      <c r="BE7"/>
      <c r="BF7"/>
      <c r="BG7"/>
      <c r="BH7"/>
    </row>
    <row r="8" spans="1:71" ht="15" x14ac:dyDescent="0.2">
      <c r="A8" s="99"/>
      <c r="B8" s="105"/>
      <c r="Q8" s="14"/>
      <c r="R8" s="108"/>
      <c r="AK8" s="14"/>
      <c r="AZ8"/>
      <c r="BA8"/>
      <c r="BB8"/>
      <c r="BC8"/>
      <c r="BD8"/>
      <c r="BE8"/>
      <c r="BF8"/>
      <c r="BG8"/>
      <c r="BH8"/>
    </row>
    <row r="9" spans="1:71" ht="15" x14ac:dyDescent="0.2">
      <c r="A9" s="15" t="s">
        <v>11</v>
      </c>
      <c r="B9" s="305" t="s">
        <v>790</v>
      </c>
      <c r="C9" s="83"/>
      <c r="N9" s="305" t="s">
        <v>790</v>
      </c>
      <c r="O9" s="83"/>
      <c r="Z9" s="305" t="s">
        <v>790</v>
      </c>
      <c r="AA9" s="83"/>
      <c r="AB9" s="83"/>
      <c r="AM9" s="305" t="s">
        <v>790</v>
      </c>
      <c r="AN9" s="83"/>
      <c r="AZ9" s="8" t="s">
        <v>564</v>
      </c>
      <c r="BA9" s="12"/>
      <c r="BB9" s="32"/>
      <c r="BC9" s="32"/>
      <c r="BI9" s="8" t="s">
        <v>564</v>
      </c>
      <c r="BJ9" s="32"/>
    </row>
    <row r="10" spans="1:71" ht="15" x14ac:dyDescent="0.2">
      <c r="A10" s="15" t="s">
        <v>45</v>
      </c>
      <c r="B10" s="106" t="s">
        <v>365</v>
      </c>
      <c r="C10" s="83"/>
      <c r="N10" s="106" t="s">
        <v>372</v>
      </c>
      <c r="O10" s="83"/>
      <c r="Z10" s="106" t="s">
        <v>373</v>
      </c>
      <c r="AA10" s="83"/>
      <c r="AB10" s="83"/>
      <c r="AM10" s="106" t="s">
        <v>366</v>
      </c>
      <c r="AN10" s="83"/>
      <c r="AZ10" s="28" t="s">
        <v>569</v>
      </c>
      <c r="BA10"/>
      <c r="BB10"/>
      <c r="BC10"/>
      <c r="BI10" s="28" t="s">
        <v>569</v>
      </c>
      <c r="BJ10"/>
    </row>
    <row r="11" spans="1:71" ht="15" x14ac:dyDescent="0.2">
      <c r="A11" s="14" t="s">
        <v>0</v>
      </c>
      <c r="B11" s="105" t="s">
        <v>352</v>
      </c>
      <c r="N11" s="105" t="s">
        <v>352</v>
      </c>
      <c r="Z11" s="105" t="s">
        <v>352</v>
      </c>
      <c r="AM11" s="105" t="s">
        <v>352</v>
      </c>
      <c r="AZ11" s="38" t="s">
        <v>567</v>
      </c>
      <c r="BA11"/>
      <c r="BB11"/>
      <c r="BC11"/>
      <c r="BI11" s="38" t="s">
        <v>567</v>
      </c>
      <c r="BJ11"/>
    </row>
    <row r="12" spans="1:71" ht="15" x14ac:dyDescent="0.2">
      <c r="A12" s="107" t="s">
        <v>10</v>
      </c>
      <c r="B12" s="10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10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10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10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Z12" s="38"/>
      <c r="BA12"/>
      <c r="BB12"/>
      <c r="BC12"/>
      <c r="BI12" s="38"/>
      <c r="BJ12"/>
    </row>
    <row r="13" spans="1:71" s="14" customFormat="1" ht="15" x14ac:dyDescent="0.2">
      <c r="A13" s="107" t="s">
        <v>9</v>
      </c>
      <c r="B13" s="109"/>
      <c r="C13" s="6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09"/>
      <c r="O13" s="6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09"/>
      <c r="AA13" s="65"/>
      <c r="AB13" s="6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09"/>
      <c r="AN13" s="6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Z13" s="39"/>
      <c r="BA13"/>
      <c r="BB13"/>
      <c r="BC13"/>
      <c r="BI13" s="39"/>
      <c r="BJ13"/>
    </row>
    <row r="14" spans="1:71" ht="15" x14ac:dyDescent="0.25">
      <c r="A14" s="107" t="s">
        <v>25</v>
      </c>
      <c r="B14" s="16" t="s">
        <v>367</v>
      </c>
      <c r="C14" s="1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16" t="s">
        <v>367</v>
      </c>
      <c r="O14" s="1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16" t="s">
        <v>367</v>
      </c>
      <c r="AA14" s="15"/>
      <c r="AB14" s="1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16" t="s">
        <v>367</v>
      </c>
      <c r="AN14" s="1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Z14" s="40" t="s">
        <v>367</v>
      </c>
      <c r="BA14" s="1"/>
      <c r="BB14" s="1"/>
      <c r="BC14" s="1"/>
      <c r="BI14" s="40" t="s">
        <v>367</v>
      </c>
      <c r="BJ14" s="1"/>
    </row>
    <row r="15" spans="1:71" ht="15" x14ac:dyDescent="0.2">
      <c r="A15" s="14" t="s">
        <v>2</v>
      </c>
      <c r="B15" s="109">
        <v>50</v>
      </c>
      <c r="C15" s="65"/>
      <c r="D15" s="110"/>
      <c r="E15" s="111"/>
      <c r="F15" s="111"/>
      <c r="G15" s="111"/>
      <c r="H15" s="111"/>
      <c r="I15" s="111"/>
      <c r="J15" s="110"/>
      <c r="K15" s="111"/>
      <c r="L15" s="111"/>
      <c r="M15" s="110"/>
      <c r="N15" s="109">
        <v>50</v>
      </c>
      <c r="O15" s="65"/>
      <c r="P15" s="110"/>
      <c r="Q15" s="111"/>
      <c r="R15" s="111"/>
      <c r="S15" s="111"/>
      <c r="T15" s="111"/>
      <c r="U15" s="111"/>
      <c r="V15" s="110"/>
      <c r="W15" s="111"/>
      <c r="X15" s="111"/>
      <c r="Y15" s="110"/>
      <c r="Z15" s="109">
        <v>50</v>
      </c>
      <c r="AA15" s="65"/>
      <c r="AB15" s="65"/>
      <c r="AC15" s="110"/>
      <c r="AD15" s="111"/>
      <c r="AE15" s="111"/>
      <c r="AF15" s="111"/>
      <c r="AG15" s="111"/>
      <c r="AH15" s="111"/>
      <c r="AI15" s="110"/>
      <c r="AJ15" s="111"/>
      <c r="AK15" s="111"/>
      <c r="AL15" s="110"/>
      <c r="AM15" s="109">
        <v>50</v>
      </c>
      <c r="AN15" s="65"/>
      <c r="AO15" s="110"/>
      <c r="AP15" s="111"/>
      <c r="AQ15" s="111"/>
      <c r="AR15" s="111"/>
      <c r="AS15" s="111"/>
      <c r="AT15" s="111"/>
      <c r="AU15" s="110"/>
      <c r="AV15" s="111"/>
      <c r="AW15" s="111"/>
      <c r="AX15" s="110"/>
      <c r="AY15" s="112"/>
      <c r="AZ15" s="39">
        <v>200</v>
      </c>
      <c r="BA15"/>
      <c r="BB15"/>
      <c r="BC15"/>
      <c r="BI15" s="39">
        <v>200</v>
      </c>
      <c r="BJ15"/>
      <c r="BK15" s="113"/>
      <c r="BL15" s="113"/>
      <c r="BM15" s="113"/>
      <c r="BN15" s="113"/>
      <c r="BO15" s="113"/>
      <c r="BP15" s="113"/>
      <c r="BQ15" s="113"/>
      <c r="BR15" s="113"/>
      <c r="BS15" s="113"/>
    </row>
    <row r="16" spans="1:71" ht="15" x14ac:dyDescent="0.2">
      <c r="A16" s="107" t="s">
        <v>26</v>
      </c>
      <c r="B16" s="114" t="s">
        <v>335</v>
      </c>
      <c r="C16" s="110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114" t="s">
        <v>335</v>
      </c>
      <c r="O16" s="110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114" t="s">
        <v>335</v>
      </c>
      <c r="AA16" s="110"/>
      <c r="AB16" s="110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114" t="s">
        <v>335</v>
      </c>
      <c r="AN16" s="110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Z16" t="s">
        <v>335</v>
      </c>
      <c r="BA16"/>
      <c r="BB16"/>
      <c r="BC16"/>
      <c r="BI16" t="s">
        <v>335</v>
      </c>
      <c r="BJ16"/>
    </row>
    <row r="17" spans="1:67" ht="15" x14ac:dyDescent="0.2">
      <c r="A17" s="14" t="s">
        <v>14</v>
      </c>
      <c r="B17" s="115" t="s">
        <v>368</v>
      </c>
      <c r="C17" s="116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115" t="s">
        <v>368</v>
      </c>
      <c r="O17" s="116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115" t="s">
        <v>368</v>
      </c>
      <c r="AA17" s="116"/>
      <c r="AB17" s="116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115"/>
      <c r="AN17" s="116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Z17"/>
      <c r="BA17"/>
      <c r="BB17"/>
      <c r="BC17"/>
      <c r="BI17"/>
      <c r="BJ17"/>
    </row>
    <row r="18" spans="1:67" ht="14.25" customHeight="1" x14ac:dyDescent="0.2">
      <c r="A18" s="15" t="s">
        <v>6</v>
      </c>
      <c r="B18" s="117" t="s">
        <v>369</v>
      </c>
      <c r="C18" s="83"/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7" t="s">
        <v>397</v>
      </c>
      <c r="O18" s="83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7" t="s">
        <v>398</v>
      </c>
      <c r="AA18" s="83"/>
      <c r="AB18" s="83"/>
      <c r="AC18" s="118"/>
      <c r="AD18" s="118"/>
      <c r="AE18" s="118"/>
      <c r="AF18" s="118"/>
      <c r="AG18" s="118"/>
      <c r="AH18" s="118"/>
      <c r="AI18" s="118"/>
      <c r="AJ18" s="118"/>
      <c r="AK18" s="118"/>
      <c r="AL18" s="118"/>
      <c r="AM18" s="117" t="s">
        <v>337</v>
      </c>
      <c r="AN18" s="83"/>
      <c r="AO18" s="118"/>
      <c r="AP18" s="118"/>
      <c r="AQ18" s="118"/>
      <c r="AR18" s="118"/>
      <c r="AS18" s="118"/>
      <c r="AT18" s="118"/>
      <c r="AU18" s="118"/>
      <c r="AV18" s="118"/>
      <c r="AW18" s="118"/>
      <c r="AX18" s="118"/>
      <c r="AZ18" s="86" t="s">
        <v>337</v>
      </c>
      <c r="BA18"/>
      <c r="BB18"/>
      <c r="BC18"/>
      <c r="BI18" s="86" t="s">
        <v>364</v>
      </c>
      <c r="BJ18"/>
    </row>
    <row r="19" spans="1:67" ht="14.25" customHeight="1" x14ac:dyDescent="0.2">
      <c r="A19" s="15" t="s">
        <v>4</v>
      </c>
      <c r="B19" s="119" t="s">
        <v>370</v>
      </c>
      <c r="C19" s="119"/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9" t="s">
        <v>370</v>
      </c>
      <c r="O19" s="119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9" t="s">
        <v>370</v>
      </c>
      <c r="AA19" s="119"/>
      <c r="AB19" s="119"/>
      <c r="AC19" s="118"/>
      <c r="AD19" s="118"/>
      <c r="AE19" s="118"/>
      <c r="AF19" s="118"/>
      <c r="AG19" s="118"/>
      <c r="AH19" s="118"/>
      <c r="AI19" s="118"/>
      <c r="AJ19" s="118"/>
      <c r="AK19" s="118"/>
      <c r="AL19" s="118"/>
      <c r="AM19" s="119" t="s">
        <v>370</v>
      </c>
      <c r="AN19" s="119"/>
      <c r="AO19" s="118"/>
      <c r="AP19" s="118"/>
      <c r="AQ19" s="118"/>
      <c r="AR19" s="118"/>
      <c r="AS19" s="118"/>
      <c r="AT19" s="118"/>
      <c r="AU19" s="118"/>
      <c r="AV19" s="118"/>
      <c r="AW19" s="118"/>
      <c r="AX19" s="118"/>
      <c r="AZ19" s="41" t="s">
        <v>566</v>
      </c>
      <c r="BA19"/>
      <c r="BB19"/>
      <c r="BC19"/>
      <c r="BI19" s="41" t="s">
        <v>577</v>
      </c>
      <c r="BJ19"/>
    </row>
    <row r="20" spans="1:67" ht="14.25" customHeight="1" x14ac:dyDescent="0.2">
      <c r="A20" s="15" t="s">
        <v>27</v>
      </c>
      <c r="B20" s="119">
        <v>240</v>
      </c>
      <c r="C20" s="119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9">
        <v>240</v>
      </c>
      <c r="O20" s="119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9">
        <v>240</v>
      </c>
      <c r="AA20" s="119"/>
      <c r="AB20" s="119"/>
      <c r="AC20" s="118"/>
      <c r="AD20" s="118"/>
      <c r="AE20" s="118"/>
      <c r="AF20" s="118"/>
      <c r="AG20" s="118"/>
      <c r="AH20" s="118"/>
      <c r="AI20" s="118"/>
      <c r="AJ20" s="118"/>
      <c r="AK20" s="118"/>
      <c r="AL20" s="118"/>
      <c r="AM20" s="119">
        <v>240</v>
      </c>
      <c r="AN20" s="119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Z20" s="105" t="s">
        <v>585</v>
      </c>
      <c r="BA20"/>
      <c r="BB20"/>
      <c r="BC20"/>
      <c r="BI20" s="75" t="s">
        <v>580</v>
      </c>
      <c r="BJ20"/>
    </row>
    <row r="21" spans="1:67" ht="14.25" customHeight="1" x14ac:dyDescent="0.2">
      <c r="A21" s="16" t="s">
        <v>12</v>
      </c>
      <c r="B21" s="119">
        <v>1</v>
      </c>
      <c r="C21" s="119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9">
        <v>1</v>
      </c>
      <c r="O21" s="119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9">
        <v>1</v>
      </c>
      <c r="AA21" s="119"/>
      <c r="AB21" s="119"/>
      <c r="AC21" s="118"/>
      <c r="AD21" s="118"/>
      <c r="AE21" s="118"/>
      <c r="AF21" s="118"/>
      <c r="AG21" s="118"/>
      <c r="AH21" s="118"/>
      <c r="AI21" s="118"/>
      <c r="AJ21" s="118"/>
      <c r="AK21" s="118"/>
      <c r="AL21" s="118"/>
      <c r="AM21" s="119">
        <v>1</v>
      </c>
      <c r="AN21" s="119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Z21" s="33">
        <v>1</v>
      </c>
      <c r="BA21" t="s">
        <v>396</v>
      </c>
      <c r="BB21"/>
      <c r="BC21"/>
      <c r="BI21" s="33">
        <v>1</v>
      </c>
      <c r="BJ21"/>
    </row>
    <row r="22" spans="1:67" ht="14.25" customHeight="1" x14ac:dyDescent="0.25">
      <c r="A22" s="15" t="s">
        <v>13</v>
      </c>
      <c r="B22" s="83"/>
      <c r="C22">
        <v>1</v>
      </c>
      <c r="D22">
        <v>2</v>
      </c>
      <c r="E22">
        <v>3</v>
      </c>
      <c r="F22">
        <v>4</v>
      </c>
      <c r="G22">
        <v>5</v>
      </c>
      <c r="H22">
        <v>6</v>
      </c>
      <c r="I22">
        <v>7</v>
      </c>
      <c r="J22">
        <v>8</v>
      </c>
      <c r="K22">
        <v>9</v>
      </c>
      <c r="L22">
        <v>10</v>
      </c>
      <c r="M22">
        <v>11</v>
      </c>
      <c r="N22"/>
      <c r="O22">
        <v>1</v>
      </c>
      <c r="P22">
        <v>2</v>
      </c>
      <c r="Q22">
        <v>3</v>
      </c>
      <c r="R22">
        <v>4</v>
      </c>
      <c r="S22">
        <v>5</v>
      </c>
      <c r="T22">
        <v>6</v>
      </c>
      <c r="U22">
        <v>7</v>
      </c>
      <c r="V22">
        <v>8</v>
      </c>
      <c r="W22">
        <v>9</v>
      </c>
      <c r="X22">
        <v>10</v>
      </c>
      <c r="Y22">
        <v>11</v>
      </c>
      <c r="Z22"/>
      <c r="AA22">
        <v>1</v>
      </c>
      <c r="AB22">
        <v>2</v>
      </c>
      <c r="AC22">
        <v>3</v>
      </c>
      <c r="AD22">
        <v>4</v>
      </c>
      <c r="AE22">
        <v>5</v>
      </c>
      <c r="AF22">
        <v>6</v>
      </c>
      <c r="AG22">
        <v>7</v>
      </c>
      <c r="AH22">
        <v>8</v>
      </c>
      <c r="AI22">
        <v>9</v>
      </c>
      <c r="AJ22">
        <v>10</v>
      </c>
      <c r="AK22">
        <v>11</v>
      </c>
      <c r="AL22"/>
      <c r="AM22"/>
      <c r="AN22">
        <v>1</v>
      </c>
      <c r="AO22">
        <v>2</v>
      </c>
      <c r="AP22">
        <v>3</v>
      </c>
      <c r="AQ22">
        <v>4</v>
      </c>
      <c r="AR22">
        <v>5</v>
      </c>
      <c r="AS22">
        <v>6</v>
      </c>
      <c r="AT22">
        <v>7</v>
      </c>
      <c r="AU22">
        <v>8</v>
      </c>
      <c r="AV22">
        <v>9</v>
      </c>
      <c r="AW22">
        <v>10</v>
      </c>
      <c r="AX22">
        <v>11</v>
      </c>
      <c r="AY22" s="14" t="s">
        <v>17</v>
      </c>
      <c r="AZ22" t="s">
        <v>545</v>
      </c>
      <c r="BA22" t="s">
        <v>581</v>
      </c>
      <c r="BB22" t="s">
        <v>582</v>
      </c>
      <c r="BC22" t="s">
        <v>583</v>
      </c>
      <c r="BD22" t="s">
        <v>584</v>
      </c>
      <c r="BE22" s="1" t="s">
        <v>17</v>
      </c>
      <c r="BF22" s="1" t="s">
        <v>385</v>
      </c>
      <c r="BG22" s="1" t="s">
        <v>371</v>
      </c>
      <c r="BH22" t="s">
        <v>545</v>
      </c>
      <c r="BI22" t="s">
        <v>581</v>
      </c>
      <c r="BJ22" t="s">
        <v>582</v>
      </c>
      <c r="BK22" t="s">
        <v>583</v>
      </c>
      <c r="BL22" t="s">
        <v>584</v>
      </c>
      <c r="BM22" s="14" t="s">
        <v>17</v>
      </c>
      <c r="BN22" s="1" t="s">
        <v>385</v>
      </c>
      <c r="BO22" s="1" t="s">
        <v>371</v>
      </c>
    </row>
    <row r="23" spans="1:67" ht="14.25" customHeight="1" x14ac:dyDescent="0.2">
      <c r="A23" s="14" t="s">
        <v>446</v>
      </c>
      <c r="B23" s="120"/>
      <c r="C23" s="121"/>
      <c r="D23" s="83"/>
      <c r="E23" s="118"/>
      <c r="F23" s="118"/>
      <c r="G23" s="118"/>
      <c r="H23" s="118"/>
      <c r="I23" s="118"/>
      <c r="J23" s="118"/>
      <c r="K23" s="118"/>
      <c r="L23" s="118"/>
      <c r="M23" s="118"/>
      <c r="N23" s="120"/>
      <c r="O23" s="121"/>
      <c r="P23" s="83"/>
      <c r="Q23" s="118"/>
      <c r="R23" s="118"/>
      <c r="S23" s="118"/>
      <c r="T23" s="118"/>
      <c r="U23" s="118"/>
      <c r="V23" s="118"/>
      <c r="W23" s="118"/>
      <c r="X23" s="118"/>
      <c r="Y23" s="118"/>
      <c r="Z23" s="120"/>
      <c r="AA23" s="121"/>
      <c r="AB23" s="121"/>
      <c r="AC23" s="83"/>
      <c r="AD23" s="118"/>
      <c r="AE23" s="118"/>
      <c r="AF23" s="118"/>
      <c r="AG23" s="118"/>
      <c r="AH23" s="118"/>
      <c r="AI23" s="118"/>
      <c r="AJ23" s="118"/>
      <c r="AK23" s="118"/>
      <c r="AL23" s="118"/>
      <c r="AM23" s="120"/>
      <c r="AN23" s="121"/>
      <c r="AO23" s="83"/>
      <c r="AP23" s="118"/>
      <c r="AQ23" s="118"/>
      <c r="AR23" s="118"/>
      <c r="AS23" s="118"/>
      <c r="AT23" s="118"/>
      <c r="AU23" s="118"/>
      <c r="AV23" s="118"/>
      <c r="AW23" s="118"/>
      <c r="AX23" s="118"/>
      <c r="AZ23" s="118"/>
      <c r="BA23" s="118"/>
      <c r="BB23" s="123"/>
      <c r="BE23"/>
      <c r="BF23"/>
      <c r="BG23"/>
      <c r="BH23"/>
      <c r="BI23" s="123"/>
    </row>
    <row r="24" spans="1:67" ht="14.25" customHeight="1" x14ac:dyDescent="0.2">
      <c r="A24" s="122" t="s">
        <v>447</v>
      </c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182"/>
      <c r="AZ24" s="118"/>
      <c r="BA24" s="118"/>
    </row>
    <row r="25" spans="1:67" s="123" customFormat="1" ht="14.25" customHeight="1" x14ac:dyDescent="0.2">
      <c r="A25" s="123" t="s">
        <v>34</v>
      </c>
      <c r="B25" s="124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182"/>
      <c r="AZ25" s="98"/>
      <c r="BA25" s="98"/>
      <c r="BB25" s="98"/>
      <c r="BC25" s="98"/>
      <c r="BD25" s="98"/>
      <c r="BE25" s="98"/>
      <c r="BF25" s="98"/>
      <c r="BG25" s="98"/>
      <c r="BH25" s="98"/>
      <c r="BI25" s="98"/>
    </row>
    <row r="26" spans="1:67" ht="14.25" customHeight="1" x14ac:dyDescent="0.2">
      <c r="A26" s="122" t="s">
        <v>269</v>
      </c>
      <c r="B26" s="109"/>
      <c r="C26" s="180"/>
      <c r="D26" s="180"/>
      <c r="E26" s="180"/>
      <c r="F26" s="180"/>
      <c r="G26" s="180"/>
      <c r="H26" s="20"/>
      <c r="I26" s="20"/>
      <c r="J26" s="20"/>
      <c r="K26" s="20"/>
      <c r="L26" s="18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182"/>
    </row>
    <row r="27" spans="1:67" ht="14.25" customHeight="1" x14ac:dyDescent="0.2">
      <c r="A27" s="83" t="s">
        <v>270</v>
      </c>
      <c r="B27" s="115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 s="182"/>
    </row>
    <row r="28" spans="1:67" ht="14.25" customHeight="1" x14ac:dyDescent="0.2">
      <c r="A28" s="83" t="s">
        <v>271</v>
      </c>
      <c r="B28" s="115"/>
      <c r="C28" s="83"/>
      <c r="D28" s="119"/>
      <c r="E28" s="118"/>
      <c r="F28" s="118"/>
      <c r="G28" s="118"/>
      <c r="H28" s="118"/>
      <c r="I28" s="118"/>
      <c r="J28" s="118"/>
      <c r="K28" s="118"/>
      <c r="L28" s="118"/>
      <c r="M28" s="118"/>
      <c r="N28" s="115"/>
      <c r="O28" s="83"/>
      <c r="P28" s="119"/>
      <c r="Q28" s="118"/>
      <c r="R28" s="118"/>
      <c r="S28" s="118"/>
      <c r="T28" s="118"/>
      <c r="U28" s="118"/>
      <c r="V28" s="118"/>
      <c r="W28" s="118"/>
      <c r="X28" s="118"/>
      <c r="Y28" s="118"/>
      <c r="Z28" s="115"/>
      <c r="AA28" s="83"/>
      <c r="AB28" s="83"/>
      <c r="AC28" s="119"/>
      <c r="AD28" s="118"/>
      <c r="AE28" s="118"/>
      <c r="AF28" s="118"/>
      <c r="AG28" s="118"/>
      <c r="AH28" s="118"/>
      <c r="AI28" s="118"/>
      <c r="AJ28" s="118"/>
      <c r="AK28" s="118"/>
      <c r="AL28" s="118"/>
      <c r="AM28" s="115"/>
      <c r="AY28" s="182"/>
    </row>
    <row r="29" spans="1:67" ht="14.25" customHeight="1" x14ac:dyDescent="0.2">
      <c r="A29" s="178" t="s">
        <v>454</v>
      </c>
      <c r="B29" s="119"/>
      <c r="C29" s="163"/>
      <c r="D29" s="163"/>
      <c r="E29" s="164"/>
      <c r="F29" s="164"/>
      <c r="G29" s="164"/>
      <c r="H29" s="164"/>
      <c r="I29" s="164"/>
      <c r="J29" s="164"/>
      <c r="K29" s="164"/>
      <c r="L29" s="164"/>
      <c r="M29" s="164"/>
      <c r="N29" s="119"/>
      <c r="O29" s="163"/>
      <c r="P29" s="163"/>
      <c r="Q29" s="164"/>
      <c r="R29" s="164"/>
      <c r="S29" s="164"/>
      <c r="T29" s="164"/>
      <c r="U29" s="164"/>
      <c r="V29" s="164"/>
      <c r="W29" s="164"/>
      <c r="X29" s="164"/>
      <c r="Y29" s="164"/>
      <c r="Z29" s="119"/>
      <c r="AA29" s="163"/>
      <c r="AB29" s="163"/>
      <c r="AC29" s="163"/>
      <c r="AD29" s="164"/>
      <c r="AE29" s="164"/>
      <c r="AF29" s="164"/>
      <c r="AG29" s="164"/>
      <c r="AH29" s="164"/>
      <c r="AI29" s="164"/>
      <c r="AJ29" s="164"/>
      <c r="AK29" s="164"/>
      <c r="AL29" s="164"/>
      <c r="AM29" s="119"/>
      <c r="AN29" s="160"/>
      <c r="AO29" s="161"/>
      <c r="AP29" s="162"/>
      <c r="AQ29" s="162"/>
      <c r="AR29" s="162"/>
      <c r="AS29" s="162"/>
      <c r="AT29" s="162"/>
      <c r="AU29" s="162"/>
      <c r="AV29" s="162"/>
      <c r="AW29" s="162"/>
      <c r="AX29" s="162"/>
      <c r="AY29" s="182"/>
    </row>
    <row r="30" spans="1:67" ht="14.25" customHeight="1" x14ac:dyDescent="0.25">
      <c r="A30" s="178" t="s">
        <v>479</v>
      </c>
      <c r="B30" s="119"/>
      <c r="C30" s="119"/>
      <c r="D30" s="119"/>
      <c r="E30" s="118"/>
      <c r="F30" s="118"/>
      <c r="G30" s="118"/>
      <c r="H30" s="118"/>
      <c r="I30" s="118"/>
      <c r="J30" s="118"/>
      <c r="K30" s="118"/>
      <c r="L30" s="118"/>
      <c r="M30" s="118"/>
      <c r="N30" s="119"/>
      <c r="O30" s="119"/>
      <c r="P30" s="119"/>
      <c r="Q30" s="118"/>
      <c r="R30" s="118"/>
      <c r="S30" s="118"/>
      <c r="T30" s="118"/>
      <c r="U30" s="118"/>
      <c r="V30" s="118"/>
      <c r="W30" s="118"/>
      <c r="X30" s="118"/>
      <c r="Y30" s="118"/>
      <c r="Z30" s="119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83"/>
      <c r="AM30" s="119"/>
      <c r="AN30" s="119"/>
      <c r="AO30" s="119"/>
      <c r="AP30" s="118"/>
      <c r="AQ30" s="118"/>
      <c r="AR30" s="118"/>
      <c r="AS30" s="118"/>
      <c r="AT30" s="118"/>
      <c r="AU30" s="118"/>
      <c r="AV30" s="118"/>
      <c r="AW30" s="118"/>
      <c r="AX30" s="118"/>
      <c r="AY30" s="182"/>
    </row>
    <row r="31" spans="1:67" ht="15" x14ac:dyDescent="0.2">
      <c r="A31" s="179" t="s">
        <v>478</v>
      </c>
      <c r="B31" s="119"/>
      <c r="C31" s="119"/>
      <c r="D31" s="119"/>
      <c r="E31" s="65"/>
      <c r="F31" s="65"/>
      <c r="G31" s="65"/>
      <c r="H31" s="65"/>
      <c r="I31" s="65"/>
      <c r="J31" s="65"/>
      <c r="K31" s="65"/>
      <c r="L31" s="65"/>
      <c r="M31" s="65"/>
      <c r="N31" s="119"/>
      <c r="O31" s="119"/>
      <c r="P31" s="119"/>
      <c r="Q31" s="65"/>
      <c r="R31" s="65"/>
      <c r="S31" s="65"/>
      <c r="T31" s="65"/>
      <c r="U31" s="65"/>
      <c r="V31" s="65"/>
      <c r="W31" s="65"/>
      <c r="X31" s="65"/>
      <c r="Y31" s="65"/>
      <c r="Z31" s="119"/>
      <c r="AA31" s="119"/>
      <c r="AB31" s="119"/>
      <c r="AC31" s="119"/>
      <c r="AD31" s="65"/>
      <c r="AE31" s="65"/>
      <c r="AY31" s="182"/>
      <c r="AZ31" s="125"/>
      <c r="BA31" s="125"/>
      <c r="BB31" s="125"/>
      <c r="BC31" s="125"/>
      <c r="BD31" s="125"/>
    </row>
    <row r="32" spans="1:67" ht="15" x14ac:dyDescent="0.2">
      <c r="A32" s="83" t="s">
        <v>499</v>
      </c>
      <c r="B32" s="116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82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82"/>
      <c r="AA32" s="119"/>
      <c r="AB32" s="119"/>
      <c r="AC32" s="119"/>
      <c r="AD32" s="119"/>
      <c r="AE32" s="119"/>
      <c r="AF32" s="119"/>
      <c r="AG32" s="119"/>
      <c r="AH32" s="119"/>
      <c r="AI32" s="119"/>
      <c r="AJ32" s="119"/>
      <c r="AK32" s="119"/>
      <c r="AL32" s="119"/>
      <c r="AM32" s="182"/>
      <c r="AN32" s="119"/>
      <c r="AO32" s="119"/>
      <c r="AP32" s="119"/>
      <c r="AQ32" s="119"/>
      <c r="AR32" s="119"/>
      <c r="AS32" s="119"/>
      <c r="AT32" s="119"/>
      <c r="AU32" s="119"/>
      <c r="AV32" s="119"/>
      <c r="AW32" s="119"/>
      <c r="AX32" s="119"/>
      <c r="AY32" s="182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</row>
    <row r="33" spans="1:98" x14ac:dyDescent="0.2">
      <c r="A33" s="83"/>
      <c r="B33" s="83"/>
      <c r="C33" s="83"/>
      <c r="D33" s="83"/>
      <c r="E33" s="65"/>
      <c r="F33" s="65"/>
      <c r="G33" s="65"/>
      <c r="H33" s="65"/>
      <c r="I33" s="65"/>
      <c r="J33" s="65"/>
      <c r="K33" s="65"/>
      <c r="L33" s="65"/>
      <c r="M33" s="65"/>
      <c r="N33" s="83"/>
      <c r="O33" s="83"/>
      <c r="P33" s="83"/>
      <c r="Q33" s="65"/>
      <c r="R33" s="65"/>
      <c r="S33" s="65"/>
      <c r="T33" s="65"/>
      <c r="U33" s="65"/>
      <c r="V33" s="65"/>
      <c r="W33" s="65"/>
      <c r="X33" s="65"/>
      <c r="Y33" s="65"/>
      <c r="Z33" s="83"/>
      <c r="AA33" s="83"/>
      <c r="AB33" s="83"/>
      <c r="AC33" s="83"/>
      <c r="AD33" s="65"/>
      <c r="AE33" s="65"/>
      <c r="AF33" s="65"/>
      <c r="AG33" s="65"/>
      <c r="AH33" s="65"/>
      <c r="AI33" s="65"/>
      <c r="AJ33" s="65"/>
      <c r="AK33" s="65"/>
      <c r="AL33" s="65"/>
      <c r="AM33" s="83"/>
      <c r="AN33" s="83"/>
      <c r="AO33" s="83"/>
      <c r="AP33" s="65"/>
      <c r="AQ33" s="65"/>
      <c r="AR33" s="65"/>
      <c r="AS33" s="65"/>
      <c r="AT33" s="65"/>
      <c r="AU33" s="65"/>
      <c r="AV33" s="65"/>
      <c r="AW33" s="65"/>
      <c r="AX33" s="65"/>
      <c r="AZ33" s="128"/>
      <c r="BA33" s="128"/>
      <c r="BB33" s="128"/>
      <c r="BC33" s="128"/>
      <c r="BD33" s="128"/>
      <c r="BE33" s="125"/>
      <c r="BF33" s="125"/>
      <c r="BG33" s="125"/>
      <c r="BH33" s="125"/>
      <c r="BI33" s="125"/>
    </row>
    <row r="34" spans="1:98" ht="15" x14ac:dyDescent="0.2">
      <c r="A34" s="15"/>
      <c r="B34" s="103"/>
      <c r="C34" s="83"/>
      <c r="D34" s="83"/>
      <c r="E34" s="125"/>
      <c r="F34" s="125"/>
      <c r="G34" s="125"/>
      <c r="H34" s="125"/>
      <c r="I34" s="125"/>
      <c r="J34" s="125"/>
      <c r="K34" s="125"/>
      <c r="L34" s="125"/>
      <c r="M34" s="125"/>
      <c r="N34" s="103"/>
      <c r="O34" s="83"/>
      <c r="P34" s="83"/>
      <c r="Q34" s="125"/>
      <c r="R34" s="125"/>
      <c r="S34" s="125"/>
      <c r="T34" s="125"/>
      <c r="U34" s="125"/>
      <c r="V34" s="125"/>
      <c r="W34" s="125"/>
      <c r="X34" s="125"/>
      <c r="Y34" s="125"/>
      <c r="Z34" s="103"/>
      <c r="AA34" s="83"/>
      <c r="AB34" s="83"/>
      <c r="AC34" s="83"/>
      <c r="AD34" s="125"/>
      <c r="AE34" s="125"/>
      <c r="AF34" s="125"/>
      <c r="AG34" s="125"/>
      <c r="AH34" s="125"/>
      <c r="AI34" s="125"/>
      <c r="AJ34" s="125"/>
      <c r="AK34" s="125"/>
      <c r="AL34" s="125"/>
      <c r="AM34" s="103"/>
      <c r="AN34" s="83"/>
      <c r="AO34" s="83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8"/>
      <c r="BF34" s="128"/>
      <c r="BG34" s="128"/>
      <c r="BH34" s="128"/>
      <c r="BI34" s="128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</row>
    <row r="35" spans="1:98" ht="15" x14ac:dyDescent="0.2">
      <c r="A35" s="14"/>
      <c r="B35" s="83"/>
      <c r="C35" s="83"/>
      <c r="D35" s="83"/>
      <c r="E35" s="126"/>
      <c r="F35" s="126"/>
      <c r="G35" s="126"/>
      <c r="H35" s="126"/>
      <c r="I35" s="126"/>
      <c r="J35" s="126"/>
      <c r="K35" s="126"/>
      <c r="L35" s="126"/>
      <c r="M35" s="126"/>
      <c r="N35" s="83"/>
      <c r="O35" s="83"/>
      <c r="P35" s="83"/>
      <c r="Q35" s="126"/>
      <c r="R35" s="126"/>
      <c r="S35" s="126"/>
      <c r="T35" s="126"/>
      <c r="U35" s="126"/>
      <c r="V35" s="126"/>
      <c r="W35" s="126"/>
      <c r="X35" s="126"/>
      <c r="Y35" s="126"/>
      <c r="Z35" s="83"/>
      <c r="AA35" s="83"/>
      <c r="AB35" s="83"/>
      <c r="AC35" s="83"/>
      <c r="AD35" s="126"/>
      <c r="AE35" s="126"/>
      <c r="AF35" s="126"/>
      <c r="AG35" s="126"/>
      <c r="AH35" s="126"/>
      <c r="AI35" s="126"/>
      <c r="AJ35" s="126"/>
      <c r="AK35" s="126"/>
      <c r="AL35" s="126"/>
      <c r="AM35" s="83"/>
      <c r="AN35" s="83"/>
      <c r="AO35" s="83"/>
      <c r="AP35" s="126"/>
      <c r="AQ35" s="126"/>
      <c r="AR35" s="126"/>
      <c r="AS35" s="126"/>
      <c r="AT35" s="126"/>
      <c r="AU35" s="126"/>
      <c r="AV35" s="126"/>
      <c r="AW35" s="126"/>
      <c r="AX35" s="126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</row>
    <row r="36" spans="1:98" ht="15" x14ac:dyDescent="0.2">
      <c r="A36" s="107"/>
      <c r="B36" s="116"/>
      <c r="C36" s="116"/>
      <c r="D36" s="116"/>
      <c r="E36" s="127"/>
      <c r="F36" s="127"/>
      <c r="G36" s="127"/>
      <c r="H36" s="127"/>
      <c r="I36" s="127"/>
      <c r="J36" s="127"/>
      <c r="K36" s="127"/>
      <c r="L36" s="127"/>
      <c r="M36" s="127"/>
      <c r="N36" s="116"/>
      <c r="O36" s="116"/>
      <c r="P36" s="116"/>
      <c r="Q36" s="127"/>
      <c r="R36" s="127"/>
      <c r="S36" s="127"/>
      <c r="T36" s="127"/>
      <c r="U36" s="127"/>
      <c r="V36" s="127"/>
      <c r="W36" s="127"/>
      <c r="X36" s="127"/>
      <c r="Y36" s="127"/>
      <c r="Z36" s="116"/>
      <c r="AA36" s="116"/>
      <c r="AB36" s="116"/>
      <c r="AC36" s="116"/>
      <c r="AD36" s="127"/>
      <c r="AE36" s="127"/>
      <c r="AF36" s="127"/>
      <c r="AG36" s="127"/>
      <c r="AH36" s="127"/>
      <c r="AI36" s="127"/>
      <c r="AJ36" s="127"/>
      <c r="AK36" s="127"/>
      <c r="AL36" s="127"/>
      <c r="AM36" s="116"/>
      <c r="AN36" s="116"/>
      <c r="AO36" s="116"/>
      <c r="AP36" s="127"/>
      <c r="AQ36" s="127"/>
      <c r="AR36" s="127"/>
      <c r="AS36" s="127"/>
      <c r="AT36" s="127"/>
      <c r="AU36" s="127"/>
      <c r="AV36" s="127"/>
      <c r="AW36" s="127"/>
      <c r="AX36" s="127"/>
      <c r="AY36" s="128"/>
      <c r="AZ36" s="95"/>
      <c r="BA36" s="95"/>
      <c r="BB36" s="95"/>
      <c r="BC36" s="95"/>
      <c r="BD36" s="95"/>
      <c r="BE36" s="125"/>
      <c r="BF36" s="125"/>
      <c r="BG36" s="125"/>
      <c r="BH36" s="125"/>
      <c r="BI36" s="125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5"/>
    </row>
    <row r="37" spans="1:98" ht="15" x14ac:dyDescent="0.2">
      <c r="A37" s="107"/>
      <c r="B37" s="83"/>
      <c r="C37" s="83"/>
      <c r="D37" s="83"/>
      <c r="E37" s="126"/>
      <c r="F37" s="126"/>
      <c r="G37" s="126"/>
      <c r="H37" s="126"/>
      <c r="I37" s="126"/>
      <c r="J37" s="126"/>
      <c r="K37" s="126"/>
      <c r="L37" s="126"/>
      <c r="M37" s="126"/>
      <c r="N37" s="83"/>
      <c r="O37" s="83"/>
      <c r="P37" s="83"/>
      <c r="Q37" s="126"/>
      <c r="R37" s="126"/>
      <c r="S37" s="126"/>
      <c r="T37" s="126"/>
      <c r="U37" s="126"/>
      <c r="V37" s="126"/>
      <c r="W37" s="126"/>
      <c r="X37" s="126"/>
      <c r="Y37" s="126"/>
      <c r="Z37" s="83"/>
      <c r="AA37" s="83"/>
      <c r="AB37" s="83"/>
      <c r="AC37" s="83"/>
      <c r="AD37" s="126"/>
      <c r="AE37" s="126"/>
      <c r="AF37" s="126"/>
      <c r="AG37" s="126"/>
      <c r="AH37" s="126"/>
      <c r="AI37" s="126"/>
      <c r="AJ37" s="126"/>
      <c r="AK37" s="126"/>
      <c r="AL37" s="126"/>
      <c r="AM37" s="83"/>
      <c r="AN37" s="83"/>
      <c r="AO37" s="83"/>
      <c r="AP37" s="126"/>
      <c r="AQ37" s="126"/>
      <c r="AR37" s="126"/>
      <c r="AS37" s="126"/>
      <c r="AT37" s="126"/>
      <c r="AU37" s="126"/>
      <c r="AV37" s="126"/>
      <c r="AW37" s="126"/>
      <c r="AX37" s="126"/>
      <c r="AY37" s="125"/>
      <c r="AZ37" s="125"/>
      <c r="BA37" s="125"/>
      <c r="BB37" s="125"/>
      <c r="BC37" s="125"/>
      <c r="BD37" s="125"/>
      <c r="BE37" s="95"/>
      <c r="BF37" s="95"/>
      <c r="BG37" s="95"/>
      <c r="BH37" s="95"/>
      <c r="BI37" s="9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</row>
    <row r="38" spans="1:98" x14ac:dyDescent="0.2">
      <c r="A38" s="83"/>
      <c r="D38" s="121"/>
      <c r="E38" s="126"/>
      <c r="F38" s="126"/>
      <c r="G38" s="126"/>
      <c r="H38" s="126"/>
      <c r="I38" s="126"/>
      <c r="J38" s="126"/>
      <c r="K38" s="126"/>
      <c r="L38" s="126"/>
      <c r="M38" s="126"/>
      <c r="P38" s="121"/>
      <c r="Q38" s="126"/>
      <c r="R38" s="126"/>
      <c r="S38" s="126"/>
      <c r="T38" s="126"/>
      <c r="U38" s="126"/>
      <c r="V38" s="126"/>
      <c r="W38" s="126"/>
      <c r="X38" s="126"/>
      <c r="Y38" s="126"/>
      <c r="AC38" s="121"/>
      <c r="AD38" s="126"/>
      <c r="AE38" s="126"/>
      <c r="AF38" s="126"/>
      <c r="AG38" s="126"/>
      <c r="AH38" s="126"/>
      <c r="AI38" s="126"/>
      <c r="AJ38" s="126"/>
      <c r="AK38" s="126"/>
      <c r="AL38" s="126"/>
      <c r="AO38" s="121"/>
      <c r="AP38" s="126"/>
      <c r="AQ38" s="126"/>
      <c r="AR38" s="126"/>
      <c r="AS38" s="126"/>
      <c r="AT38" s="126"/>
      <c r="AU38" s="126"/>
      <c r="AV38" s="126"/>
      <c r="AW38" s="126"/>
      <c r="AX38" s="126"/>
      <c r="AY38" s="125"/>
      <c r="AZ38" s="128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</row>
    <row r="39" spans="1:98" s="95" customFormat="1" ht="15" x14ac:dyDescent="0.2">
      <c r="A39" s="92" t="s">
        <v>13</v>
      </c>
      <c r="B39" s="93" t="s">
        <v>859</v>
      </c>
      <c r="C39" s="93"/>
      <c r="D39" s="94" t="s">
        <v>860</v>
      </c>
      <c r="E39" s="93"/>
      <c r="F39" s="94" t="s">
        <v>861</v>
      </c>
      <c r="G39" s="93"/>
      <c r="H39" s="94" t="s">
        <v>862</v>
      </c>
      <c r="I39" s="93"/>
      <c r="J39" s="94"/>
      <c r="K39" s="93"/>
      <c r="L39" s="93"/>
      <c r="N39" s="93"/>
      <c r="O39" s="93">
        <v>1</v>
      </c>
      <c r="P39" s="94">
        <v>3</v>
      </c>
      <c r="Q39" s="93">
        <v>4</v>
      </c>
      <c r="R39" s="93">
        <v>5</v>
      </c>
      <c r="S39" s="94">
        <v>6</v>
      </c>
      <c r="T39" s="93">
        <v>7</v>
      </c>
      <c r="U39" s="93">
        <v>8</v>
      </c>
      <c r="V39" s="94">
        <v>9</v>
      </c>
      <c r="W39" s="93">
        <v>10</v>
      </c>
      <c r="X39" s="93">
        <v>11</v>
      </c>
      <c r="Y39" s="95">
        <v>12</v>
      </c>
      <c r="Z39" s="93"/>
      <c r="AA39" s="93">
        <v>1</v>
      </c>
      <c r="AB39" s="93">
        <v>2</v>
      </c>
      <c r="AC39" s="94">
        <v>3</v>
      </c>
      <c r="AD39" s="93">
        <v>4</v>
      </c>
      <c r="AE39" s="93">
        <v>5</v>
      </c>
      <c r="AF39" s="94">
        <v>6</v>
      </c>
      <c r="AG39" s="93">
        <v>7</v>
      </c>
      <c r="AH39" s="93">
        <v>8</v>
      </c>
      <c r="AI39" s="94">
        <v>9</v>
      </c>
      <c r="AJ39" s="93">
        <v>10</v>
      </c>
      <c r="AK39" s="93">
        <v>11</v>
      </c>
      <c r="AL39" s="95">
        <v>12</v>
      </c>
      <c r="AM39" s="93"/>
      <c r="AN39" s="184" t="s">
        <v>503</v>
      </c>
      <c r="AO39" s="94">
        <v>3</v>
      </c>
      <c r="AP39" s="93">
        <v>4</v>
      </c>
      <c r="AQ39" s="93">
        <v>5</v>
      </c>
      <c r="AR39" s="94">
        <v>6</v>
      </c>
      <c r="AS39" s="93">
        <v>7</v>
      </c>
      <c r="AT39" s="93">
        <v>8</v>
      </c>
      <c r="AU39" s="185" t="s">
        <v>502</v>
      </c>
      <c r="AV39" s="184" t="s">
        <v>501</v>
      </c>
      <c r="AW39" s="184" t="s">
        <v>500</v>
      </c>
      <c r="AX39" s="95">
        <v>12</v>
      </c>
      <c r="AZ39" s="133"/>
      <c r="BA39" s="93" t="s">
        <v>396</v>
      </c>
      <c r="BB39" s="184"/>
      <c r="BC39" s="94"/>
      <c r="BD39" s="93"/>
      <c r="BE39" s="125"/>
      <c r="BF39" s="125"/>
      <c r="BG39" s="125"/>
      <c r="BH39" s="125"/>
      <c r="BI39" s="125"/>
    </row>
    <row r="40" spans="1:98" ht="15" x14ac:dyDescent="0.25">
      <c r="A40" s="83"/>
      <c r="B40" s="83" t="s">
        <v>88</v>
      </c>
      <c r="C40" s="83" t="s">
        <v>88</v>
      </c>
      <c r="D40" s="129" t="s">
        <v>121</v>
      </c>
      <c r="E40" s="83" t="s">
        <v>88</v>
      </c>
      <c r="F40" s="129" t="s">
        <v>121</v>
      </c>
      <c r="G40" s="83" t="s">
        <v>88</v>
      </c>
      <c r="H40" s="129" t="s">
        <v>121</v>
      </c>
      <c r="I40" s="126"/>
      <c r="J40" s="126"/>
      <c r="K40" s="126"/>
      <c r="L40" s="126"/>
      <c r="M40" s="126"/>
      <c r="N40" s="83" t="s">
        <v>88</v>
      </c>
      <c r="O40" s="129" t="s">
        <v>121</v>
      </c>
      <c r="Q40" s="126"/>
      <c r="R40" s="126"/>
      <c r="S40" s="126"/>
      <c r="T40" s="126"/>
      <c r="U40" s="126"/>
      <c r="V40" s="126"/>
      <c r="W40" s="126"/>
      <c r="X40" s="126"/>
      <c r="Y40" s="126"/>
      <c r="Z40" s="83" t="s">
        <v>88</v>
      </c>
      <c r="AA40" s="129" t="s">
        <v>121</v>
      </c>
      <c r="AB40" s="129"/>
      <c r="AD40" s="126"/>
      <c r="AE40" s="126"/>
      <c r="AF40" s="126"/>
      <c r="AG40" s="126"/>
      <c r="AH40" s="126"/>
      <c r="AI40" s="126"/>
      <c r="AJ40" s="126"/>
      <c r="AK40" s="126"/>
      <c r="AL40" s="126"/>
      <c r="AM40" s="83" t="s">
        <v>88</v>
      </c>
      <c r="AN40" s="129" t="s">
        <v>121</v>
      </c>
      <c r="AP40" s="126"/>
      <c r="AQ40" s="126"/>
      <c r="AR40" s="126"/>
      <c r="AS40" s="126"/>
      <c r="AT40" s="126"/>
      <c r="AU40" s="126"/>
      <c r="AV40" s="126"/>
      <c r="AW40" s="126"/>
      <c r="AX40" s="126"/>
      <c r="AY40" s="125"/>
      <c r="AZ40" t="s">
        <v>545</v>
      </c>
      <c r="BA40" t="s">
        <v>581</v>
      </c>
      <c r="BB40" t="s">
        <v>582</v>
      </c>
      <c r="BC40" t="s">
        <v>583</v>
      </c>
      <c r="BD40" t="s">
        <v>584</v>
      </c>
      <c r="BE40" s="1" t="s">
        <v>17</v>
      </c>
      <c r="BF40" s="1" t="s">
        <v>385</v>
      </c>
      <c r="BG40" s="1" t="s">
        <v>371</v>
      </c>
      <c r="BH40" t="s">
        <v>545</v>
      </c>
      <c r="BI40" t="s">
        <v>731</v>
      </c>
      <c r="BJ40" t="s">
        <v>732</v>
      </c>
      <c r="BK40" t="s">
        <v>733</v>
      </c>
      <c r="BL40" t="s">
        <v>734</v>
      </c>
      <c r="BM40" s="14" t="s">
        <v>17</v>
      </c>
      <c r="BN40" s="1" t="s">
        <v>385</v>
      </c>
      <c r="BO40" s="1" t="s">
        <v>371</v>
      </c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</row>
    <row r="41" spans="1:98" ht="15" x14ac:dyDescent="0.25">
      <c r="A41" s="106"/>
      <c r="B41" s="291">
        <v>-0.01</v>
      </c>
      <c r="C41" s="292">
        <v>3.4299999999999997E-2</v>
      </c>
      <c r="D41" s="293">
        <v>0.85835400000000006</v>
      </c>
      <c r="E41" s="170">
        <v>6.8500000000000005E-2</v>
      </c>
      <c r="F41" s="170">
        <v>0.56421399999999999</v>
      </c>
      <c r="G41" s="170">
        <v>0.17100000000000001</v>
      </c>
      <c r="H41" s="170">
        <v>1.4466340000000002</v>
      </c>
      <c r="I41" s="166"/>
      <c r="J41" s="166"/>
      <c r="K41" s="158"/>
      <c r="L41" s="166"/>
      <c r="M41" s="166"/>
      <c r="N41" s="126"/>
      <c r="O41" s="166"/>
      <c r="P41" s="166"/>
      <c r="Q41" s="166"/>
      <c r="R41" s="158"/>
      <c r="S41" s="166"/>
      <c r="T41" s="166"/>
      <c r="U41" s="166"/>
      <c r="V41" s="166"/>
      <c r="W41" s="158"/>
      <c r="X41" s="158"/>
      <c r="Y41" s="166"/>
      <c r="Z41" s="83"/>
      <c r="AA41" s="166"/>
      <c r="AB41" s="158"/>
      <c r="AC41" s="158"/>
      <c r="AD41" s="158"/>
      <c r="AE41" s="158"/>
      <c r="AF41" s="166"/>
      <c r="AG41" s="166"/>
      <c r="AH41" s="158"/>
      <c r="AI41" s="166"/>
      <c r="AJ41" s="158"/>
      <c r="AK41" s="158"/>
      <c r="AL41" s="166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31">
        <v>0</v>
      </c>
      <c r="BA41" s="154">
        <v>0</v>
      </c>
      <c r="BB41" s="154">
        <v>15.7</v>
      </c>
      <c r="BC41" s="154">
        <v>0</v>
      </c>
      <c r="BD41" s="154">
        <v>5.65</v>
      </c>
      <c r="BE41" s="196">
        <f>AVERAGE(BA41:BD41)</f>
        <v>5.3375000000000004</v>
      </c>
      <c r="BF41" s="196">
        <f>100/BE41*BG41</f>
        <v>138.71630162951419</v>
      </c>
      <c r="BG41" s="196">
        <f>STDEV(BA41:BD41)</f>
        <v>7.4039825994753201</v>
      </c>
      <c r="BH41" s="131">
        <v>0</v>
      </c>
      <c r="BI41" s="195">
        <v>1.57</v>
      </c>
      <c r="BJ41" s="195">
        <v>1.74</v>
      </c>
      <c r="BK41" s="195">
        <v>0</v>
      </c>
      <c r="BL41" s="195">
        <v>-4.9899999999999996E-3</v>
      </c>
      <c r="BM41" s="196">
        <f>AVERAGE(BI41:BL41)</f>
        <v>0.82625250000000006</v>
      </c>
      <c r="BN41" s="196">
        <f>100/BM41*BO41</f>
        <v>116.12318378908388</v>
      </c>
      <c r="BO41" s="196">
        <f>STDEV(BI41:BL41)</f>
        <v>0.95947070913690036</v>
      </c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8"/>
      <c r="CA41" s="125"/>
      <c r="CB41" s="125"/>
      <c r="CC41" s="125"/>
      <c r="CD41" s="125"/>
      <c r="CE41" s="125"/>
      <c r="CF41" s="125"/>
      <c r="CG41" s="125"/>
      <c r="CH41" s="125"/>
      <c r="CI41" s="125"/>
      <c r="CJ41" s="128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</row>
    <row r="42" spans="1:98" ht="15" x14ac:dyDescent="0.25">
      <c r="A42" s="106"/>
      <c r="B42" s="291">
        <v>0.5</v>
      </c>
      <c r="C42" s="292">
        <v>0.85699999999999998</v>
      </c>
      <c r="D42" s="293">
        <v>25.269300000000001</v>
      </c>
      <c r="E42" s="170">
        <v>0.95899999999999996</v>
      </c>
      <c r="F42" s="170">
        <v>95.996600000000015</v>
      </c>
      <c r="G42" s="170">
        <v>0.44500000000000001</v>
      </c>
      <c r="H42" s="170">
        <v>137.71100000000001</v>
      </c>
      <c r="I42" s="158"/>
      <c r="J42" s="166"/>
      <c r="K42" s="158"/>
      <c r="L42" s="158"/>
      <c r="M42" s="166"/>
      <c r="N42" s="133"/>
      <c r="O42" s="166"/>
      <c r="P42" s="166"/>
      <c r="Q42" s="166"/>
      <c r="R42" s="158"/>
      <c r="S42" s="166"/>
      <c r="T42" s="158"/>
      <c r="U42" s="158"/>
      <c r="V42" s="166"/>
      <c r="W42" s="158"/>
      <c r="X42" s="158"/>
      <c r="Y42" s="166"/>
      <c r="Z42" s="83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28"/>
      <c r="AN42" s="158"/>
      <c r="AO42" s="158"/>
      <c r="AP42" s="158"/>
      <c r="AQ42" s="158"/>
      <c r="AR42" s="158"/>
      <c r="AS42" s="158"/>
      <c r="AT42" s="168"/>
      <c r="AU42" s="158"/>
      <c r="AV42" s="158"/>
      <c r="AW42" s="158"/>
      <c r="AX42" s="158"/>
      <c r="AY42" s="125"/>
      <c r="AZ42" s="125">
        <v>0.5</v>
      </c>
      <c r="BA42" s="154">
        <v>1.48</v>
      </c>
      <c r="BB42" s="154">
        <v>309</v>
      </c>
      <c r="BC42" s="154">
        <v>0</v>
      </c>
      <c r="BD42" s="154">
        <v>472</v>
      </c>
      <c r="BE42" s="196">
        <f t="shared" ref="BE42:BE57" si="0">AVERAGE(BA42:BD42)</f>
        <v>195.62</v>
      </c>
      <c r="BF42" s="196">
        <f t="shared" ref="BF42:BF57" si="1">100/BE42*BG42</f>
        <v>119.95796946802994</v>
      </c>
      <c r="BG42" s="196">
        <f t="shared" ref="BG42:BG57" si="2">STDEV(BA42:BD42)</f>
        <v>234.66177987336016</v>
      </c>
      <c r="BH42" s="125">
        <v>0.5</v>
      </c>
      <c r="BI42" s="195">
        <v>99</v>
      </c>
      <c r="BJ42" s="195">
        <v>115</v>
      </c>
      <c r="BK42" s="195">
        <v>0</v>
      </c>
      <c r="BL42" s="195">
        <v>87.9</v>
      </c>
      <c r="BM42" s="196">
        <f t="shared" ref="BM42:BM57" si="3">AVERAGE(BI42:BL42)</f>
        <v>75.474999999999994</v>
      </c>
      <c r="BN42" s="196">
        <f t="shared" ref="BN42:BN57" si="4">100/BM42*BO42</f>
        <v>68.276340503178346</v>
      </c>
      <c r="BO42" s="196">
        <f t="shared" ref="BO42:BO57" si="5">STDEV(BI42:BL42)</f>
        <v>51.531567994773852</v>
      </c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33"/>
      <c r="CA42" s="125"/>
      <c r="CB42" s="125"/>
      <c r="CC42" s="125"/>
      <c r="CD42" s="125"/>
      <c r="CE42" s="125"/>
      <c r="CF42" s="125"/>
      <c r="CG42" s="125"/>
      <c r="CH42" s="125"/>
      <c r="CI42" s="125"/>
      <c r="CJ42" s="133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</row>
    <row r="43" spans="1:98" ht="15" x14ac:dyDescent="0.25">
      <c r="A43" s="106"/>
      <c r="B43" s="291">
        <v>1</v>
      </c>
      <c r="C43" s="292">
        <v>1.1000000000000001</v>
      </c>
      <c r="D43" s="293">
        <v>38.238200000000006</v>
      </c>
      <c r="E43" s="170">
        <v>2.02</v>
      </c>
      <c r="F43" s="170">
        <v>105.623</v>
      </c>
      <c r="G43" s="170">
        <v>1.99</v>
      </c>
      <c r="H43" s="170">
        <v>181.56460000000001</v>
      </c>
      <c r="I43" s="158"/>
      <c r="J43" s="158"/>
      <c r="K43" s="158"/>
      <c r="L43" s="158"/>
      <c r="M43" s="158"/>
      <c r="N43" s="128"/>
      <c r="O43" s="166"/>
      <c r="P43" s="158"/>
      <c r="Q43" s="166"/>
      <c r="R43" s="158"/>
      <c r="S43" s="158"/>
      <c r="T43" s="158"/>
      <c r="U43" s="158"/>
      <c r="V43" s="158"/>
      <c r="W43" s="158"/>
      <c r="X43" s="158"/>
      <c r="Y43" s="166"/>
      <c r="Z43" s="83"/>
      <c r="AA43" s="250"/>
      <c r="AB43" s="250"/>
      <c r="AC43" s="250"/>
      <c r="AD43" s="250"/>
      <c r="AE43" s="251"/>
      <c r="AF43" s="250"/>
      <c r="AG43" s="250"/>
      <c r="AH43" s="251"/>
      <c r="AI43" s="251"/>
      <c r="AJ43" s="250"/>
      <c r="AK43" s="250"/>
      <c r="AL43" s="251"/>
      <c r="AM43" s="128"/>
      <c r="AN43" s="168"/>
      <c r="AO43" s="168"/>
      <c r="AP43" s="168"/>
      <c r="AQ43" s="158"/>
      <c r="AR43" s="168"/>
      <c r="AS43" s="168"/>
      <c r="AT43" s="158"/>
      <c r="AU43" s="158"/>
      <c r="AV43" s="158"/>
      <c r="AW43" s="158"/>
      <c r="AX43" s="158"/>
      <c r="AY43" s="125"/>
      <c r="AZ43" s="98">
        <v>1</v>
      </c>
      <c r="BA43" s="154">
        <v>4.53</v>
      </c>
      <c r="BB43" s="154">
        <v>885</v>
      </c>
      <c r="BC43" s="154">
        <v>606</v>
      </c>
      <c r="BD43" s="154">
        <v>1560</v>
      </c>
      <c r="BE43" s="196">
        <f t="shared" si="0"/>
        <v>763.88249999999994</v>
      </c>
      <c r="BF43" s="196">
        <f t="shared" si="1"/>
        <v>84.502689731369827</v>
      </c>
      <c r="BG43" s="196">
        <f t="shared" si="2"/>
        <v>645.50125888723107</v>
      </c>
      <c r="BH43" s="98">
        <v>1</v>
      </c>
      <c r="BI43" s="195">
        <v>132</v>
      </c>
      <c r="BJ43" s="195">
        <v>73.599999999999994</v>
      </c>
      <c r="BK43" s="195">
        <v>114</v>
      </c>
      <c r="BL43" s="195">
        <v>74</v>
      </c>
      <c r="BM43" s="196">
        <f t="shared" si="3"/>
        <v>98.4</v>
      </c>
      <c r="BN43" s="196">
        <f t="shared" si="4"/>
        <v>29.818303926213932</v>
      </c>
      <c r="BO43" s="196">
        <f t="shared" si="5"/>
        <v>29.341211063394514</v>
      </c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8"/>
      <c r="CA43" s="125"/>
      <c r="CB43" s="125"/>
      <c r="CC43" s="125"/>
      <c r="CD43" s="125"/>
      <c r="CE43" s="125"/>
      <c r="CF43" s="125"/>
      <c r="CG43" s="125"/>
      <c r="CH43" s="125"/>
      <c r="CI43" s="125"/>
      <c r="CJ43" s="128"/>
      <c r="CK43" s="125"/>
      <c r="CL43" s="125"/>
      <c r="CM43" s="125"/>
      <c r="CN43" s="125"/>
      <c r="CO43" s="125"/>
      <c r="CP43" s="125"/>
      <c r="CQ43" s="125"/>
      <c r="CR43" s="125"/>
      <c r="CS43" s="125"/>
      <c r="CT43" s="125"/>
    </row>
    <row r="44" spans="1:98" s="131" customFormat="1" ht="15" x14ac:dyDescent="0.25">
      <c r="A44" s="134"/>
      <c r="B44" s="135">
        <v>1.5</v>
      </c>
      <c r="C44" s="292">
        <v>1.44</v>
      </c>
      <c r="D44" s="293">
        <v>45.190600000000003</v>
      </c>
      <c r="E44" s="170">
        <v>3.08</v>
      </c>
      <c r="F44" s="170">
        <v>85.568000000000012</v>
      </c>
      <c r="G44" s="170">
        <v>2.98</v>
      </c>
      <c r="H44" s="170">
        <v>150.01140000000001</v>
      </c>
      <c r="I44" s="158"/>
      <c r="J44" s="158"/>
      <c r="K44" s="158"/>
      <c r="L44" s="158"/>
      <c r="M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83"/>
      <c r="AA44" s="250"/>
      <c r="AB44" s="251"/>
      <c r="AC44" s="251"/>
      <c r="AD44" s="251"/>
      <c r="AE44" s="250"/>
      <c r="AF44" s="250"/>
      <c r="AG44" s="250"/>
      <c r="AH44" s="250"/>
      <c r="AI44" s="250"/>
      <c r="AJ44" s="250"/>
      <c r="AK44" s="251"/>
      <c r="AL44" s="250"/>
      <c r="AM44" s="128"/>
      <c r="AN44" s="158"/>
      <c r="AO44" s="158"/>
      <c r="AP44" s="158"/>
      <c r="AQ44" s="158"/>
      <c r="AR44" s="158"/>
      <c r="AS44" s="158"/>
      <c r="AT44" s="158"/>
      <c r="AU44" s="158"/>
      <c r="AV44" s="158"/>
      <c r="AW44" s="158"/>
      <c r="AX44" s="158"/>
      <c r="AZ44" s="83">
        <v>1.5</v>
      </c>
      <c r="BA44" s="154">
        <v>298</v>
      </c>
      <c r="BB44" s="154">
        <v>644</v>
      </c>
      <c r="BC44" s="154">
        <v>1150</v>
      </c>
      <c r="BD44" s="154">
        <v>826</v>
      </c>
      <c r="BE44" s="196">
        <f t="shared" si="0"/>
        <v>729.5</v>
      </c>
      <c r="BF44" s="196">
        <f t="shared" si="1"/>
        <v>48.763761538828909</v>
      </c>
      <c r="BG44" s="196">
        <f t="shared" si="2"/>
        <v>355.73164042575689</v>
      </c>
      <c r="BH44" s="83">
        <v>1.5</v>
      </c>
      <c r="BI44" s="195">
        <v>221</v>
      </c>
      <c r="BJ44" s="195">
        <v>114</v>
      </c>
      <c r="BK44" s="195">
        <v>139</v>
      </c>
      <c r="BL44" s="195">
        <v>151</v>
      </c>
      <c r="BM44" s="196">
        <f t="shared" si="3"/>
        <v>156.25</v>
      </c>
      <c r="BN44" s="196">
        <f t="shared" si="4"/>
        <v>29.334884807455211</v>
      </c>
      <c r="BO44" s="196">
        <f t="shared" si="5"/>
        <v>45.835757511648765</v>
      </c>
    </row>
    <row r="45" spans="1:98" ht="15" x14ac:dyDescent="0.25">
      <c r="A45" s="122"/>
      <c r="B45" s="294">
        <v>2</v>
      </c>
      <c r="C45" s="292">
        <v>2.06</v>
      </c>
      <c r="D45" s="293">
        <v>46.260200000000005</v>
      </c>
      <c r="E45" s="170">
        <v>4.1500000000000004</v>
      </c>
      <c r="F45" s="170">
        <v>73.802400000000006</v>
      </c>
      <c r="G45" s="170">
        <v>4.1100000000000003</v>
      </c>
      <c r="H45" s="170">
        <v>135.57180000000002</v>
      </c>
      <c r="I45" s="158"/>
      <c r="J45" s="158"/>
      <c r="K45" s="158"/>
      <c r="L45" s="158"/>
      <c r="M45" s="167"/>
      <c r="N45" s="125"/>
      <c r="O45" s="158"/>
      <c r="P45" s="158"/>
      <c r="Q45" s="158"/>
      <c r="R45" s="158"/>
      <c r="S45" s="158"/>
      <c r="T45" s="158"/>
      <c r="U45" s="158"/>
      <c r="V45" s="167"/>
      <c r="W45" s="158"/>
      <c r="X45" s="158"/>
      <c r="Y45" s="158"/>
      <c r="Z45" s="83"/>
      <c r="AA45" s="251"/>
      <c r="AB45" s="250"/>
      <c r="AC45" s="250"/>
      <c r="AD45" s="250"/>
      <c r="AE45" s="250"/>
      <c r="AF45" s="251"/>
      <c r="AG45" s="251"/>
      <c r="AH45" s="250"/>
      <c r="AI45" s="250"/>
      <c r="AJ45" s="251"/>
      <c r="AK45" s="250"/>
      <c r="AL45" s="250"/>
      <c r="AM45" s="128"/>
      <c r="AN45" s="158"/>
      <c r="AO45" s="158"/>
      <c r="AP45" s="158"/>
      <c r="AQ45" s="168"/>
      <c r="AR45" s="158"/>
      <c r="AS45" s="158"/>
      <c r="AT45" s="158"/>
      <c r="AU45" s="168"/>
      <c r="AV45" s="158"/>
      <c r="AW45" s="168"/>
      <c r="AX45" s="168"/>
      <c r="AY45" s="125"/>
      <c r="AZ45" s="83">
        <v>2</v>
      </c>
      <c r="BA45" s="154">
        <v>720</v>
      </c>
      <c r="BB45" s="154">
        <v>564</v>
      </c>
      <c r="BC45" s="154">
        <v>894</v>
      </c>
      <c r="BD45" s="154">
        <v>682</v>
      </c>
      <c r="BE45" s="196">
        <f t="shared" si="0"/>
        <v>715</v>
      </c>
      <c r="BF45" s="196">
        <f t="shared" si="1"/>
        <v>19.101024498102426</v>
      </c>
      <c r="BG45" s="196">
        <f t="shared" si="2"/>
        <v>136.57232516143233</v>
      </c>
      <c r="BH45" s="83">
        <v>2</v>
      </c>
      <c r="BI45" s="195">
        <v>379</v>
      </c>
      <c r="BJ45" s="195">
        <v>163</v>
      </c>
      <c r="BK45" s="195">
        <v>253</v>
      </c>
      <c r="BL45" s="195">
        <v>94.2</v>
      </c>
      <c r="BM45" s="196">
        <f t="shared" si="3"/>
        <v>222.3</v>
      </c>
      <c r="BN45" s="196">
        <f t="shared" si="4"/>
        <v>55.352865931499842</v>
      </c>
      <c r="BO45" s="196">
        <f t="shared" si="5"/>
        <v>123.04942096572415</v>
      </c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125"/>
      <c r="CM45" s="125"/>
      <c r="CN45" s="125"/>
      <c r="CO45" s="125"/>
      <c r="CP45" s="125"/>
      <c r="CQ45" s="125"/>
      <c r="CR45" s="125"/>
      <c r="CS45" s="125"/>
      <c r="CT45" s="125"/>
    </row>
    <row r="46" spans="1:98" ht="15" x14ac:dyDescent="0.25">
      <c r="A46" s="123"/>
      <c r="B46" s="295">
        <v>3</v>
      </c>
      <c r="C46" s="292">
        <v>3.63</v>
      </c>
      <c r="D46" s="293">
        <v>30.216200000000004</v>
      </c>
      <c r="E46" s="170">
        <v>5.96</v>
      </c>
      <c r="F46" s="170">
        <v>52.945200000000007</v>
      </c>
      <c r="G46" s="170">
        <v>5.14</v>
      </c>
      <c r="H46" s="170">
        <v>114.17980000000001</v>
      </c>
      <c r="I46" s="158"/>
      <c r="J46" s="158"/>
      <c r="K46" s="158"/>
      <c r="L46" s="158"/>
      <c r="M46" s="170"/>
      <c r="N46" s="125"/>
      <c r="O46" s="158"/>
      <c r="P46" s="158"/>
      <c r="Q46" s="158"/>
      <c r="R46" s="158"/>
      <c r="S46" s="158"/>
      <c r="T46" s="158"/>
      <c r="U46" s="158"/>
      <c r="V46" s="167"/>
      <c r="W46" s="158"/>
      <c r="X46" s="158"/>
      <c r="Y46" s="158"/>
      <c r="Z46" s="83"/>
      <c r="AA46" s="250"/>
      <c r="AB46" s="250"/>
      <c r="AC46" s="252"/>
      <c r="AD46" s="250"/>
      <c r="AE46" s="252"/>
      <c r="AF46" s="250"/>
      <c r="AG46" s="250"/>
      <c r="AH46" s="250"/>
      <c r="AI46" s="250"/>
      <c r="AJ46" s="252"/>
      <c r="AK46" s="250"/>
      <c r="AL46" s="250"/>
      <c r="AM46" s="128"/>
      <c r="AN46" s="158"/>
      <c r="AO46" s="158"/>
      <c r="AP46" s="158"/>
      <c r="AQ46" s="158"/>
      <c r="AR46" s="158"/>
      <c r="AS46" s="158"/>
      <c r="AT46" s="158"/>
      <c r="AU46" s="158"/>
      <c r="AV46" s="168"/>
      <c r="AW46" s="158"/>
      <c r="AX46" s="158"/>
      <c r="AZ46" s="83">
        <v>2.5</v>
      </c>
      <c r="BA46" s="154">
        <v>908</v>
      </c>
      <c r="BB46" s="154">
        <v>428</v>
      </c>
      <c r="BC46" s="154">
        <v>785</v>
      </c>
      <c r="BD46" s="154">
        <v>589</v>
      </c>
      <c r="BE46" s="196">
        <f t="shared" si="0"/>
        <v>677.5</v>
      </c>
      <c r="BF46" s="196">
        <f t="shared" si="1"/>
        <v>31.284201610518014</v>
      </c>
      <c r="BG46" s="196">
        <f t="shared" si="2"/>
        <v>211.95046591125956</v>
      </c>
      <c r="BH46" s="83">
        <v>2.5</v>
      </c>
      <c r="BI46" s="195">
        <v>536</v>
      </c>
      <c r="BJ46" s="195">
        <v>187</v>
      </c>
      <c r="BK46" s="195">
        <v>473</v>
      </c>
      <c r="BL46" s="195">
        <v>111</v>
      </c>
      <c r="BM46" s="196">
        <f t="shared" si="3"/>
        <v>326.75</v>
      </c>
      <c r="BN46" s="196">
        <f t="shared" si="4"/>
        <v>64.014444644067765</v>
      </c>
      <c r="BO46" s="196">
        <f t="shared" si="5"/>
        <v>209.16719787449145</v>
      </c>
    </row>
    <row r="47" spans="1:98" ht="15" x14ac:dyDescent="0.25">
      <c r="A47" s="122"/>
      <c r="B47" s="296">
        <v>4</v>
      </c>
      <c r="C47" s="292">
        <v>4.04</v>
      </c>
      <c r="D47" s="297">
        <v>24.360140000000001</v>
      </c>
      <c r="E47" s="170">
        <v>7.06</v>
      </c>
      <c r="F47" s="170">
        <v>50.806000000000004</v>
      </c>
      <c r="G47" s="170">
        <v>6.27</v>
      </c>
      <c r="H47" s="170">
        <v>98.938000000000017</v>
      </c>
      <c r="I47" s="158"/>
      <c r="J47" s="167"/>
      <c r="K47" s="168"/>
      <c r="L47" s="167"/>
      <c r="M47" s="158"/>
      <c r="N47" s="128"/>
      <c r="O47" s="158"/>
      <c r="P47" s="158"/>
      <c r="Q47" s="158"/>
      <c r="R47" s="167"/>
      <c r="S47" s="158"/>
      <c r="T47" s="158"/>
      <c r="U47" s="158"/>
      <c r="V47" s="158"/>
      <c r="W47" s="158"/>
      <c r="X47" s="158"/>
      <c r="Y47" s="158"/>
      <c r="Z47" s="83"/>
      <c r="AA47" s="250"/>
      <c r="AB47" s="252"/>
      <c r="AC47" s="252"/>
      <c r="AD47" s="250"/>
      <c r="AE47" s="250"/>
      <c r="AF47" s="250"/>
      <c r="AG47" s="252"/>
      <c r="AH47" s="252"/>
      <c r="AI47" s="252"/>
      <c r="AJ47" s="252"/>
      <c r="AK47" s="250"/>
      <c r="AL47" s="253"/>
      <c r="AM47" s="12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  <c r="AX47" s="158"/>
      <c r="AY47" s="83"/>
      <c r="AZ47" s="83">
        <v>3</v>
      </c>
      <c r="BA47" s="154">
        <v>745</v>
      </c>
      <c r="BB47" s="154">
        <v>303</v>
      </c>
      <c r="BC47" s="154">
        <v>609</v>
      </c>
      <c r="BD47" s="154">
        <v>431</v>
      </c>
      <c r="BE47" s="196">
        <f t="shared" si="0"/>
        <v>522</v>
      </c>
      <c r="BF47" s="196">
        <f t="shared" si="1"/>
        <v>37.268620239549762</v>
      </c>
      <c r="BG47" s="196">
        <f t="shared" si="2"/>
        <v>194.54219765044976</v>
      </c>
      <c r="BH47" s="83">
        <v>3</v>
      </c>
      <c r="BI47" s="195">
        <v>572</v>
      </c>
      <c r="BJ47" s="195">
        <v>172</v>
      </c>
      <c r="BK47" s="195">
        <v>611</v>
      </c>
      <c r="BL47" s="195">
        <v>140</v>
      </c>
      <c r="BM47" s="196">
        <f t="shared" si="3"/>
        <v>373.75</v>
      </c>
      <c r="BN47" s="196">
        <f t="shared" si="4"/>
        <v>67.499162631565</v>
      </c>
      <c r="BO47" s="196">
        <f t="shared" si="5"/>
        <v>252.2781203354742</v>
      </c>
      <c r="BP47" s="83"/>
      <c r="BQ47" s="83"/>
      <c r="BR47" s="83"/>
      <c r="BS47" s="83"/>
      <c r="BT47" s="83"/>
      <c r="BU47" s="83"/>
      <c r="BV47" s="83"/>
      <c r="BW47" s="83"/>
      <c r="BX47" s="83"/>
      <c r="BY47" s="83"/>
      <c r="BZ47" s="83"/>
      <c r="CA47" s="83"/>
      <c r="CB47" s="83"/>
      <c r="CC47" s="83"/>
      <c r="CD47" s="83"/>
      <c r="CE47" s="83"/>
      <c r="CF47" s="83"/>
      <c r="CG47" s="83"/>
      <c r="CH47" s="83"/>
      <c r="CI47" s="83"/>
      <c r="CJ47" s="83"/>
      <c r="CK47" s="83"/>
      <c r="CL47" s="83"/>
      <c r="CM47" s="83"/>
      <c r="CN47" s="83"/>
      <c r="CO47" s="83"/>
      <c r="CP47" s="83"/>
      <c r="CQ47" s="83"/>
      <c r="CR47" s="83"/>
      <c r="CS47" s="83"/>
    </row>
    <row r="48" spans="1:98" ht="15" x14ac:dyDescent="0.25">
      <c r="A48" s="83"/>
      <c r="B48" s="296">
        <v>5</v>
      </c>
      <c r="C48" s="292">
        <v>5.79</v>
      </c>
      <c r="D48" s="297">
        <v>14.920920000000001</v>
      </c>
      <c r="E48" s="170">
        <v>8.26</v>
      </c>
      <c r="F48" s="170">
        <v>37.168600000000005</v>
      </c>
      <c r="G48" s="170">
        <v>7.67</v>
      </c>
      <c r="H48" s="170">
        <v>81.022200000000012</v>
      </c>
      <c r="I48" s="169"/>
      <c r="J48" s="167"/>
      <c r="K48" s="167"/>
      <c r="L48" s="169"/>
      <c r="M48" s="158"/>
      <c r="N48" s="128"/>
      <c r="O48" s="158"/>
      <c r="P48" s="167"/>
      <c r="Q48" s="158"/>
      <c r="R48" s="158"/>
      <c r="S48" s="158"/>
      <c r="T48" s="158"/>
      <c r="U48" s="158"/>
      <c r="V48" s="158"/>
      <c r="W48" s="167"/>
      <c r="X48" s="158"/>
      <c r="Y48" s="158"/>
      <c r="Z48" s="83"/>
      <c r="AA48" s="250"/>
      <c r="AB48" s="252"/>
      <c r="AC48" s="250"/>
      <c r="AD48" s="252"/>
      <c r="AE48" s="250"/>
      <c r="AF48" s="252"/>
      <c r="AG48" s="252"/>
      <c r="AH48" s="252"/>
      <c r="AI48" s="250"/>
      <c r="AJ48" s="250"/>
      <c r="AK48" s="250"/>
      <c r="AL48" s="253"/>
      <c r="AM48" s="165"/>
      <c r="AN48" s="158"/>
      <c r="AO48" s="158"/>
      <c r="AP48" s="158"/>
      <c r="AQ48" s="158"/>
      <c r="AR48" s="158"/>
      <c r="AS48" s="158"/>
      <c r="AT48" s="158"/>
      <c r="AU48" s="158"/>
      <c r="AV48" s="250"/>
      <c r="AW48" s="158"/>
      <c r="AX48" s="158"/>
      <c r="AY48" s="83"/>
      <c r="AZ48" s="83">
        <v>4</v>
      </c>
      <c r="BA48" s="154">
        <v>478</v>
      </c>
      <c r="BB48" s="154">
        <v>205</v>
      </c>
      <c r="BC48" s="154">
        <v>547</v>
      </c>
      <c r="BD48" s="154">
        <v>194</v>
      </c>
      <c r="BE48" s="196">
        <f t="shared" si="0"/>
        <v>356</v>
      </c>
      <c r="BF48" s="196">
        <f t="shared" si="1"/>
        <v>51.389910131025133</v>
      </c>
      <c r="BG48" s="196">
        <f t="shared" si="2"/>
        <v>182.94808006644945</v>
      </c>
      <c r="BH48" s="83">
        <v>4</v>
      </c>
      <c r="BI48" s="195">
        <v>433</v>
      </c>
      <c r="BJ48" s="195">
        <v>389</v>
      </c>
      <c r="BK48" s="195">
        <v>637</v>
      </c>
      <c r="BL48" s="195">
        <v>163</v>
      </c>
      <c r="BM48" s="196">
        <f t="shared" si="3"/>
        <v>405.5</v>
      </c>
      <c r="BN48" s="196">
        <f t="shared" si="4"/>
        <v>47.952001252080301</v>
      </c>
      <c r="BO48" s="196">
        <f t="shared" si="5"/>
        <v>194.44536507718561</v>
      </c>
      <c r="BP48" s="83"/>
      <c r="BQ48" s="83"/>
      <c r="BR48" s="83"/>
      <c r="BS48" s="83"/>
      <c r="BT48" s="83"/>
      <c r="BU48" s="83"/>
      <c r="BV48" s="83"/>
      <c r="BW48" s="83"/>
      <c r="BX48" s="83"/>
      <c r="BY48" s="83"/>
      <c r="BZ48" s="83"/>
      <c r="CA48" s="83"/>
      <c r="CB48" s="83"/>
      <c r="CC48" s="83"/>
      <c r="CD48" s="83"/>
      <c r="CE48" s="83"/>
      <c r="CF48" s="83"/>
      <c r="CG48" s="83"/>
      <c r="CH48" s="83"/>
      <c r="CI48" s="83"/>
      <c r="CJ48" s="83"/>
      <c r="CK48" s="83"/>
      <c r="CL48" s="83"/>
      <c r="CM48" s="83"/>
      <c r="CN48" s="83"/>
      <c r="CO48" s="83"/>
      <c r="CP48" s="83"/>
      <c r="CQ48" s="83"/>
      <c r="CR48" s="83"/>
      <c r="CS48" s="83"/>
    </row>
    <row r="49" spans="1:102" ht="15" x14ac:dyDescent="0.25">
      <c r="A49" s="83"/>
      <c r="B49" s="296">
        <v>6</v>
      </c>
      <c r="C49" s="298">
        <v>7.85</v>
      </c>
      <c r="D49" s="299">
        <v>11.952780000000002</v>
      </c>
      <c r="E49" s="170">
        <v>10.3</v>
      </c>
      <c r="F49" s="170">
        <v>24.868200000000002</v>
      </c>
      <c r="G49" s="170">
        <v>8.1199999999999992</v>
      </c>
      <c r="H49" s="170">
        <v>71.395800000000008</v>
      </c>
      <c r="I49" s="158"/>
      <c r="J49" s="168"/>
      <c r="K49" s="158"/>
      <c r="L49" s="158"/>
      <c r="M49" s="168"/>
      <c r="N49" s="128"/>
      <c r="O49" s="167"/>
      <c r="P49" s="158"/>
      <c r="Q49" s="158"/>
      <c r="R49" s="158"/>
      <c r="S49" s="167"/>
      <c r="T49" s="167"/>
      <c r="U49" s="158"/>
      <c r="V49" s="168"/>
      <c r="W49" s="158"/>
      <c r="X49" s="158"/>
      <c r="Y49" s="167"/>
      <c r="Z49" s="83"/>
      <c r="AA49" s="254"/>
      <c r="AB49" s="250"/>
      <c r="AC49" s="250"/>
      <c r="AD49" s="254"/>
      <c r="AE49" s="250"/>
      <c r="AF49" s="251"/>
      <c r="AG49" s="251"/>
      <c r="AH49" s="250"/>
      <c r="AI49" s="251"/>
      <c r="AJ49" s="250"/>
      <c r="AK49" s="252"/>
      <c r="AL49" s="252"/>
      <c r="AM49" s="128"/>
      <c r="AN49" s="158"/>
      <c r="AO49" s="158"/>
      <c r="AP49" s="158"/>
      <c r="AQ49" s="158"/>
      <c r="AR49" s="158"/>
      <c r="AS49" s="158"/>
      <c r="AT49" s="158"/>
      <c r="AU49" s="158"/>
      <c r="AV49" s="252"/>
      <c r="AW49" s="158"/>
      <c r="AX49" s="158"/>
      <c r="AY49" s="83"/>
      <c r="AZ49" s="83">
        <v>5</v>
      </c>
      <c r="BA49" s="154">
        <v>322</v>
      </c>
      <c r="BB49" s="154">
        <v>132</v>
      </c>
      <c r="BC49" s="154">
        <v>406</v>
      </c>
      <c r="BD49" s="154">
        <v>163</v>
      </c>
      <c r="BE49" s="196">
        <f t="shared" si="0"/>
        <v>255.75</v>
      </c>
      <c r="BF49" s="196">
        <f t="shared" si="1"/>
        <v>50.921417243941576</v>
      </c>
      <c r="BG49" s="196">
        <f t="shared" si="2"/>
        <v>130.23152460138058</v>
      </c>
      <c r="BH49" s="83">
        <v>5</v>
      </c>
      <c r="BI49" s="195">
        <v>276</v>
      </c>
      <c r="BJ49" s="195">
        <v>237</v>
      </c>
      <c r="BK49" s="195">
        <v>466</v>
      </c>
      <c r="BL49" s="195">
        <v>381</v>
      </c>
      <c r="BM49" s="196">
        <f t="shared" si="3"/>
        <v>340</v>
      </c>
      <c r="BN49" s="196">
        <f t="shared" si="4"/>
        <v>30.50043961337273</v>
      </c>
      <c r="BO49" s="196">
        <f t="shared" si="5"/>
        <v>103.70149468546728</v>
      </c>
      <c r="BP49" s="83"/>
      <c r="BQ49" s="83"/>
      <c r="BR49" s="83"/>
      <c r="BS49" s="83"/>
      <c r="BT49" s="83"/>
      <c r="BU49" s="83"/>
      <c r="BV49" s="83"/>
      <c r="BW49" s="83"/>
      <c r="BX49" s="83"/>
      <c r="BY49" s="83"/>
      <c r="BZ49" s="83"/>
      <c r="CA49" s="83"/>
      <c r="CB49" s="83"/>
      <c r="CC49" s="83"/>
      <c r="CD49" s="83"/>
      <c r="CE49" s="83"/>
      <c r="CF49" s="83"/>
      <c r="CG49" s="83"/>
      <c r="CH49" s="83"/>
      <c r="CI49" s="83"/>
      <c r="CJ49" s="83"/>
      <c r="CK49" s="83"/>
      <c r="CL49" s="83"/>
      <c r="CM49" s="83"/>
      <c r="CN49" s="83"/>
      <c r="CO49" s="83"/>
      <c r="CP49" s="83"/>
      <c r="CQ49" s="83"/>
      <c r="CR49" s="83"/>
      <c r="CS49" s="83"/>
    </row>
    <row r="50" spans="1:102" ht="15" x14ac:dyDescent="0.25">
      <c r="A50" s="83"/>
      <c r="B50" s="294">
        <v>7</v>
      </c>
      <c r="C50" s="285">
        <v>10.1</v>
      </c>
      <c r="D50" s="300">
        <v>4.8666800000000006</v>
      </c>
      <c r="E50" s="170">
        <v>12.2</v>
      </c>
      <c r="F50" s="170">
        <v>16.605540000000001</v>
      </c>
      <c r="G50" s="170">
        <v>10.6</v>
      </c>
      <c r="H50" s="170">
        <v>51.073400000000007</v>
      </c>
      <c r="I50" s="158"/>
      <c r="J50" s="158"/>
      <c r="K50" s="158"/>
      <c r="L50" s="158"/>
      <c r="M50" s="158"/>
      <c r="N50" s="128"/>
      <c r="O50" s="158"/>
      <c r="P50" s="158"/>
      <c r="Q50" s="169"/>
      <c r="R50" s="158"/>
      <c r="S50" s="167"/>
      <c r="T50" s="158"/>
      <c r="U50" s="167"/>
      <c r="V50" s="158"/>
      <c r="W50" s="158"/>
      <c r="X50" s="167"/>
      <c r="Y50" s="158"/>
      <c r="Z50" s="83"/>
      <c r="AA50" s="250"/>
      <c r="AB50" s="251"/>
      <c r="AC50" s="250"/>
      <c r="AD50" s="250"/>
      <c r="AE50" s="251"/>
      <c r="AF50" s="250"/>
      <c r="AG50" s="250"/>
      <c r="AH50" s="251"/>
      <c r="AI50" s="250"/>
      <c r="AJ50" s="251"/>
      <c r="AK50" s="254"/>
      <c r="AL50" s="251"/>
      <c r="AM50" s="128"/>
      <c r="AN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  <c r="AY50" s="83"/>
      <c r="AZ50" s="83">
        <v>6</v>
      </c>
      <c r="BA50" s="154">
        <v>277</v>
      </c>
      <c r="BB50" s="154">
        <v>76.7</v>
      </c>
      <c r="BC50" s="154">
        <v>216</v>
      </c>
      <c r="BD50" s="154">
        <v>81.900000000000006</v>
      </c>
      <c r="BE50" s="196">
        <f t="shared" si="0"/>
        <v>162.9</v>
      </c>
      <c r="BF50" s="196">
        <f t="shared" si="1"/>
        <v>61.213032620579064</v>
      </c>
      <c r="BG50" s="196">
        <f t="shared" si="2"/>
        <v>99.716030138923301</v>
      </c>
      <c r="BH50" s="83">
        <v>6</v>
      </c>
      <c r="BI50" s="195">
        <v>216</v>
      </c>
      <c r="BJ50" s="195">
        <v>176</v>
      </c>
      <c r="BK50" s="195">
        <v>433</v>
      </c>
      <c r="BL50" s="195">
        <v>184</v>
      </c>
      <c r="BM50" s="196">
        <f t="shared" si="3"/>
        <v>252.25</v>
      </c>
      <c r="BN50" s="196">
        <f t="shared" si="4"/>
        <v>48.258859385434363</v>
      </c>
      <c r="BO50" s="196">
        <f t="shared" si="5"/>
        <v>121.73297279975819</v>
      </c>
      <c r="BP50" s="83"/>
      <c r="BQ50" s="83"/>
      <c r="BR50" s="83"/>
      <c r="BS50" s="83"/>
      <c r="BT50" s="83"/>
      <c r="BU50" s="83"/>
      <c r="BV50" s="83"/>
      <c r="BW50" s="83"/>
      <c r="BX50" s="83"/>
      <c r="BY50" s="83"/>
      <c r="BZ50" s="83"/>
      <c r="CA50" s="83"/>
      <c r="CB50" s="83"/>
      <c r="CC50" s="83"/>
      <c r="CD50" s="83"/>
      <c r="CE50" s="83"/>
      <c r="CF50" s="83"/>
      <c r="CG50" s="83"/>
      <c r="CH50" s="83"/>
      <c r="CI50" s="83"/>
      <c r="CJ50" s="83"/>
      <c r="CK50" s="83"/>
      <c r="CL50" s="83"/>
      <c r="CM50" s="83"/>
      <c r="CN50" s="83"/>
      <c r="CO50" s="83"/>
      <c r="CP50" s="83"/>
      <c r="CQ50" s="83"/>
      <c r="CR50" s="83"/>
      <c r="CS50" s="83"/>
    </row>
    <row r="51" spans="1:102" ht="15" x14ac:dyDescent="0.25">
      <c r="A51" s="83"/>
      <c r="B51" s="294">
        <v>8</v>
      </c>
      <c r="C51" s="285">
        <v>12.1</v>
      </c>
      <c r="D51" s="300">
        <v>3.3692400000000005</v>
      </c>
      <c r="E51" s="170">
        <v>18</v>
      </c>
      <c r="F51" s="170">
        <v>8.8776800000000016</v>
      </c>
      <c r="G51" s="170">
        <v>12.2</v>
      </c>
      <c r="H51" s="170">
        <v>40.644800000000004</v>
      </c>
      <c r="I51" s="158"/>
      <c r="J51" s="158"/>
      <c r="K51" s="158"/>
      <c r="L51" s="158"/>
      <c r="M51" s="158"/>
      <c r="N51" s="128"/>
      <c r="O51" s="158"/>
      <c r="P51" s="168"/>
      <c r="Q51" s="167"/>
      <c r="R51" s="158"/>
      <c r="S51" s="158"/>
      <c r="T51" s="168"/>
      <c r="U51" s="168"/>
      <c r="V51" s="158"/>
      <c r="W51" s="158"/>
      <c r="X51" s="158"/>
      <c r="Y51" s="158"/>
      <c r="Z51" s="83"/>
      <c r="AA51" s="158"/>
      <c r="AB51" s="158"/>
      <c r="AC51" s="168"/>
      <c r="AD51" s="158"/>
      <c r="AE51" s="158"/>
      <c r="AF51" s="158"/>
      <c r="AG51" s="158"/>
      <c r="AH51" s="158"/>
      <c r="AI51" s="158"/>
      <c r="AJ51" s="158"/>
      <c r="AK51" s="158"/>
      <c r="AL51" s="158"/>
      <c r="AM51" s="12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83"/>
      <c r="AZ51" s="83">
        <v>7</v>
      </c>
      <c r="BA51" s="154">
        <v>114</v>
      </c>
      <c r="BB51" s="154">
        <v>57.8</v>
      </c>
      <c r="BC51" s="154">
        <v>143</v>
      </c>
      <c r="BD51" s="154">
        <v>65.400000000000006</v>
      </c>
      <c r="BE51" s="196">
        <f t="shared" si="0"/>
        <v>95.050000000000011</v>
      </c>
      <c r="BF51" s="196">
        <f t="shared" si="1"/>
        <v>42.627506367827081</v>
      </c>
      <c r="BG51" s="196">
        <f t="shared" si="2"/>
        <v>40.51744480261965</v>
      </c>
      <c r="BH51" s="83">
        <v>7</v>
      </c>
      <c r="BI51" s="195">
        <v>114</v>
      </c>
      <c r="BJ51" s="195">
        <v>142</v>
      </c>
      <c r="BK51" s="195">
        <v>290</v>
      </c>
      <c r="BL51" s="195">
        <v>102</v>
      </c>
      <c r="BM51" s="196">
        <f t="shared" si="3"/>
        <v>162</v>
      </c>
      <c r="BN51" s="196">
        <f t="shared" si="4"/>
        <v>53.681230811918773</v>
      </c>
      <c r="BO51" s="196">
        <f t="shared" si="5"/>
        <v>86.963593915308422</v>
      </c>
      <c r="BP51" s="83"/>
      <c r="BQ51" s="83"/>
      <c r="BR51" s="83"/>
      <c r="BS51" s="83"/>
      <c r="BT51" s="83"/>
      <c r="BU51" s="83"/>
      <c r="BV51" s="83"/>
      <c r="BW51" s="83"/>
      <c r="BX51" s="83"/>
      <c r="BY51" s="83"/>
      <c r="BZ51" s="83"/>
      <c r="CA51" s="83"/>
      <c r="CB51" s="83"/>
      <c r="CC51" s="83"/>
      <c r="CD51" s="83"/>
      <c r="CE51" s="83"/>
      <c r="CF51" s="83"/>
      <c r="CG51" s="83"/>
      <c r="CH51" s="83"/>
      <c r="CI51" s="83"/>
      <c r="CJ51" s="83"/>
      <c r="CK51" s="83"/>
      <c r="CL51" s="83"/>
      <c r="CM51" s="83"/>
      <c r="CN51" s="83"/>
      <c r="CO51" s="83"/>
      <c r="CP51" s="83"/>
      <c r="CQ51" s="83"/>
      <c r="CR51" s="83"/>
      <c r="CS51" s="83"/>
    </row>
    <row r="52" spans="1:102" ht="15" x14ac:dyDescent="0.25">
      <c r="A52" s="83"/>
      <c r="B52" s="294">
        <v>10</v>
      </c>
      <c r="C52" s="285">
        <v>17.899999999999999</v>
      </c>
      <c r="D52" s="300">
        <v>0.94124800000000008</v>
      </c>
      <c r="E52" s="170">
        <v>24.1</v>
      </c>
      <c r="F52" s="170">
        <v>2.6338900000000001</v>
      </c>
      <c r="G52" s="170">
        <v>13.9</v>
      </c>
      <c r="H52" s="170">
        <v>29.414000000000001</v>
      </c>
      <c r="I52" s="158"/>
      <c r="J52" s="158"/>
      <c r="K52" s="158"/>
      <c r="L52" s="158"/>
      <c r="M52" s="158"/>
      <c r="N52" s="12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83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28"/>
      <c r="AN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  <c r="AY52" s="83"/>
      <c r="AZ52" s="83">
        <v>8</v>
      </c>
      <c r="BA52" s="154">
        <v>71.099999999999994</v>
      </c>
      <c r="BB52" s="154">
        <v>0</v>
      </c>
      <c r="BC52" s="154">
        <v>70.400000000000006</v>
      </c>
      <c r="BD52" s="154">
        <v>37.6</v>
      </c>
      <c r="BE52" s="196">
        <f t="shared" si="0"/>
        <v>44.774999999999999</v>
      </c>
      <c r="BF52" s="196">
        <f t="shared" si="1"/>
        <v>75.252594483624861</v>
      </c>
      <c r="BG52" s="196">
        <f t="shared" si="2"/>
        <v>33.694349180043034</v>
      </c>
      <c r="BH52" s="83">
        <v>8</v>
      </c>
      <c r="BI52" s="195">
        <v>75.7</v>
      </c>
      <c r="BJ52" s="195">
        <v>103</v>
      </c>
      <c r="BK52" s="195">
        <v>230</v>
      </c>
      <c r="BL52" s="195">
        <v>46.1</v>
      </c>
      <c r="BM52" s="196">
        <f t="shared" si="3"/>
        <v>113.7</v>
      </c>
      <c r="BN52" s="196">
        <f t="shared" si="4"/>
        <v>71.187496635832829</v>
      </c>
      <c r="BO52" s="196">
        <f t="shared" si="5"/>
        <v>80.940183674941935</v>
      </c>
      <c r="BP52" s="83"/>
      <c r="BQ52" s="83"/>
      <c r="BR52" s="83"/>
      <c r="BS52" s="83"/>
      <c r="BT52" s="83"/>
      <c r="BU52" s="83"/>
      <c r="BV52" s="83"/>
      <c r="BW52" s="83"/>
      <c r="BX52" s="83"/>
      <c r="BY52" s="83"/>
      <c r="BZ52" s="83"/>
      <c r="CA52" s="83"/>
      <c r="CB52" s="83"/>
      <c r="CC52" s="83"/>
      <c r="CD52" s="83"/>
      <c r="CE52" s="83"/>
      <c r="CF52" s="83"/>
      <c r="CG52" s="83"/>
      <c r="CH52" s="83"/>
      <c r="CI52" s="83"/>
      <c r="CJ52" s="83"/>
      <c r="CK52" s="83"/>
      <c r="CL52" s="83"/>
      <c r="CM52" s="83"/>
      <c r="CN52" s="83"/>
      <c r="CO52" s="83"/>
      <c r="CP52" s="83"/>
      <c r="CQ52" s="83"/>
      <c r="CR52" s="83"/>
      <c r="CS52" s="83"/>
    </row>
    <row r="53" spans="1:102" ht="15" x14ac:dyDescent="0.25">
      <c r="A53" s="83"/>
      <c r="B53" s="294">
        <v>12</v>
      </c>
      <c r="C53" s="285">
        <v>24.1</v>
      </c>
      <c r="D53" s="300">
        <v>0</v>
      </c>
      <c r="E53" s="170">
        <v>32.1</v>
      </c>
      <c r="F53" s="170">
        <v>0.48132000000000008</v>
      </c>
      <c r="G53" s="170">
        <v>18.100000000000001</v>
      </c>
      <c r="H53" s="170">
        <v>22.113980000000002</v>
      </c>
      <c r="I53" s="158"/>
      <c r="J53" s="158"/>
      <c r="K53" s="158"/>
      <c r="L53" s="158"/>
      <c r="M53" s="158"/>
      <c r="N53" s="128"/>
      <c r="O53" s="158"/>
      <c r="P53" s="168"/>
      <c r="Q53" s="158"/>
      <c r="R53" s="158"/>
      <c r="S53" s="168"/>
      <c r="T53" s="158"/>
      <c r="U53" s="158"/>
      <c r="V53" s="158"/>
      <c r="W53" s="158"/>
      <c r="X53" s="168"/>
      <c r="Y53" s="168"/>
      <c r="Z53" s="83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28"/>
      <c r="AN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  <c r="AY53" s="83"/>
      <c r="AZ53" s="83">
        <v>9</v>
      </c>
      <c r="BA53" s="154">
        <v>53.6</v>
      </c>
      <c r="BB53" s="154">
        <v>0</v>
      </c>
      <c r="BC53" s="154">
        <v>43.8</v>
      </c>
      <c r="BD53" s="154">
        <v>21.1</v>
      </c>
      <c r="BE53" s="196">
        <f t="shared" si="0"/>
        <v>29.625</v>
      </c>
      <c r="BF53" s="196">
        <f t="shared" si="1"/>
        <v>80.966876421623951</v>
      </c>
      <c r="BG53" s="196">
        <f t="shared" si="2"/>
        <v>23.986437139906094</v>
      </c>
      <c r="BH53" s="83">
        <v>9</v>
      </c>
      <c r="BI53" s="154">
        <v>55.1</v>
      </c>
      <c r="BJ53" s="154">
        <v>114</v>
      </c>
      <c r="BK53" s="195">
        <v>113</v>
      </c>
      <c r="BL53" s="195">
        <v>26.8</v>
      </c>
      <c r="BM53" s="196">
        <f t="shared" si="3"/>
        <v>77.225000000000009</v>
      </c>
      <c r="BN53" s="196">
        <f t="shared" si="4"/>
        <v>56.267838677873542</v>
      </c>
      <c r="BO53" s="196">
        <f t="shared" si="5"/>
        <v>43.452838418987845</v>
      </c>
      <c r="BP53" s="83"/>
      <c r="BQ53" s="83"/>
      <c r="BR53" s="83"/>
      <c r="BS53" s="83"/>
      <c r="BT53" s="83"/>
      <c r="BU53" s="83"/>
      <c r="BV53" s="83"/>
      <c r="BW53" s="83"/>
      <c r="BX53" s="83"/>
      <c r="BY53" s="83"/>
      <c r="BZ53" s="83"/>
      <c r="CA53" s="83"/>
      <c r="CB53" s="83"/>
      <c r="CC53" s="83"/>
      <c r="CD53" s="83"/>
      <c r="CE53" s="83"/>
      <c r="CF53" s="83"/>
      <c r="CG53" s="83"/>
      <c r="CH53" s="83"/>
      <c r="CI53" s="83"/>
      <c r="CJ53" s="83"/>
      <c r="CK53" s="83"/>
      <c r="CL53" s="83"/>
      <c r="CM53" s="83"/>
      <c r="CN53" s="83"/>
      <c r="CO53" s="83"/>
      <c r="CP53" s="83"/>
      <c r="CQ53" s="83"/>
      <c r="CR53" s="83"/>
      <c r="CS53" s="83"/>
    </row>
    <row r="54" spans="1:102" ht="15" x14ac:dyDescent="0.25">
      <c r="A54" s="83"/>
      <c r="B54" s="294">
        <v>14</v>
      </c>
      <c r="C54" s="285">
        <v>32.1</v>
      </c>
      <c r="D54" s="300">
        <v>0</v>
      </c>
      <c r="E54" s="170"/>
      <c r="F54" s="170"/>
      <c r="G54" s="170">
        <v>24.1</v>
      </c>
      <c r="H54" s="170">
        <v>10.589040000000001</v>
      </c>
      <c r="I54" s="158"/>
      <c r="J54" s="158"/>
      <c r="K54" s="158"/>
      <c r="L54" s="158"/>
      <c r="M54" s="158"/>
      <c r="N54" s="128"/>
      <c r="O54" s="168"/>
      <c r="P54" s="158"/>
      <c r="Q54" s="158"/>
      <c r="R54" s="168"/>
      <c r="S54" s="158"/>
      <c r="T54" s="158"/>
      <c r="U54" s="158"/>
      <c r="V54" s="158"/>
      <c r="W54" s="168"/>
      <c r="X54" s="158"/>
      <c r="Y54" s="158"/>
      <c r="Z54" s="83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28"/>
      <c r="AN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  <c r="AY54" s="83"/>
      <c r="AZ54" s="83">
        <v>9.4499999999999993</v>
      </c>
      <c r="BA54" s="154">
        <v>24.5</v>
      </c>
      <c r="BB54" s="154">
        <v>0</v>
      </c>
      <c r="BC54" s="154">
        <v>0</v>
      </c>
      <c r="BD54" s="154">
        <v>13</v>
      </c>
      <c r="BE54" s="196">
        <f t="shared" si="0"/>
        <v>9.375</v>
      </c>
      <c r="BF54" s="196">
        <f t="shared" si="1"/>
        <v>125.86177014957792</v>
      </c>
      <c r="BG54" s="196">
        <f t="shared" si="2"/>
        <v>11.79954095152293</v>
      </c>
      <c r="BH54" s="83">
        <v>9.4499999999999993</v>
      </c>
      <c r="BI54" s="154">
        <v>26.1</v>
      </c>
      <c r="BJ54" s="154">
        <v>83.1</v>
      </c>
      <c r="BK54" s="195">
        <v>220</v>
      </c>
      <c r="BL54" s="195">
        <v>13</v>
      </c>
      <c r="BM54" s="196">
        <f t="shared" si="3"/>
        <v>85.55</v>
      </c>
      <c r="BN54" s="196">
        <f t="shared" si="4"/>
        <v>110.64681539883013</v>
      </c>
      <c r="BO54" s="196">
        <f t="shared" si="5"/>
        <v>94.658350573699167</v>
      </c>
      <c r="BP54" s="83"/>
      <c r="BQ54" s="83"/>
      <c r="BR54" s="83"/>
      <c r="BS54" s="83"/>
      <c r="BT54" s="83"/>
      <c r="BU54" s="83"/>
      <c r="BV54" s="83"/>
      <c r="BW54" s="83"/>
      <c r="BX54" s="83"/>
      <c r="BY54" s="83"/>
      <c r="BZ54" s="83"/>
      <c r="CA54" s="83"/>
      <c r="CB54" s="83"/>
      <c r="CC54" s="83"/>
      <c r="CD54" s="83"/>
      <c r="CE54" s="83"/>
      <c r="CF54" s="83"/>
      <c r="CG54" s="83"/>
      <c r="CH54" s="83"/>
      <c r="CI54" s="83"/>
      <c r="CJ54" s="83"/>
      <c r="CK54" s="83"/>
      <c r="CL54" s="83"/>
      <c r="CM54" s="83"/>
      <c r="CN54" s="83"/>
      <c r="CO54" s="83"/>
      <c r="CP54" s="83"/>
      <c r="CQ54" s="83"/>
      <c r="CR54" s="83"/>
      <c r="CS54" s="83"/>
    </row>
    <row r="55" spans="1:102" ht="15" x14ac:dyDescent="0.25">
      <c r="A55" s="83"/>
      <c r="B55" s="294">
        <v>24</v>
      </c>
      <c r="C55" s="170"/>
      <c r="D55" s="170"/>
      <c r="E55" s="170"/>
      <c r="F55" s="170"/>
      <c r="G55" s="170">
        <v>31.9</v>
      </c>
      <c r="H55" s="170">
        <v>4.3051400000000006</v>
      </c>
      <c r="I55" s="158"/>
      <c r="J55" s="158"/>
      <c r="K55" s="158"/>
      <c r="L55" s="158"/>
      <c r="M55" s="158"/>
      <c r="N55" s="12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83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28"/>
      <c r="AN55" s="158"/>
      <c r="AO55" s="158"/>
      <c r="AP55" s="158"/>
      <c r="AQ55" s="158"/>
      <c r="AR55" s="158"/>
      <c r="AS55" s="158"/>
      <c r="AT55" s="166"/>
      <c r="AU55" s="158"/>
      <c r="AV55" s="158"/>
      <c r="AW55" s="158"/>
      <c r="AX55" s="158"/>
      <c r="AY55" s="83"/>
      <c r="AZ55" s="83">
        <v>10.5</v>
      </c>
      <c r="BA55" s="154">
        <v>11.1</v>
      </c>
      <c r="BB55" s="154">
        <v>0</v>
      </c>
      <c r="BC55" s="154">
        <v>0</v>
      </c>
      <c r="BD55" s="154">
        <v>0</v>
      </c>
      <c r="BE55" s="196">
        <f t="shared" si="0"/>
        <v>2.7749999999999999</v>
      </c>
      <c r="BF55" s="196">
        <f t="shared" si="1"/>
        <v>200</v>
      </c>
      <c r="BG55" s="196">
        <f t="shared" si="2"/>
        <v>5.55</v>
      </c>
      <c r="BH55" s="83">
        <v>10.5</v>
      </c>
      <c r="BI55" s="154">
        <v>11</v>
      </c>
      <c r="BJ55" s="154">
        <v>0</v>
      </c>
      <c r="BK55" s="154">
        <v>147</v>
      </c>
      <c r="BL55" s="154">
        <v>0</v>
      </c>
      <c r="BM55" s="196">
        <f t="shared" si="3"/>
        <v>39.5</v>
      </c>
      <c r="BN55" s="196">
        <f t="shared" si="4"/>
        <v>181.90890804242733</v>
      </c>
      <c r="BO55" s="196">
        <f t="shared" si="5"/>
        <v>71.854018676758784</v>
      </c>
      <c r="BP55" s="83"/>
      <c r="BQ55" s="83"/>
      <c r="BR55" s="83"/>
      <c r="BS55" s="83"/>
      <c r="BT55" s="83"/>
      <c r="BU55" s="83"/>
      <c r="BV55" s="83"/>
      <c r="BW55" s="83"/>
      <c r="BX55" s="83"/>
      <c r="BY55" s="83"/>
      <c r="BZ55" s="83"/>
      <c r="CA55" s="83"/>
      <c r="CB55" s="83"/>
      <c r="CC55" s="83"/>
      <c r="CD55" s="83"/>
      <c r="CE55" s="83"/>
      <c r="CF55" s="83"/>
      <c r="CG55" s="83"/>
      <c r="CH55" s="83"/>
      <c r="CI55" s="83"/>
      <c r="CJ55" s="83"/>
      <c r="CK55" s="83"/>
      <c r="CL55" s="83"/>
      <c r="CM55" s="83"/>
      <c r="CN55" s="83"/>
      <c r="CO55" s="83"/>
      <c r="CP55" s="83"/>
      <c r="CQ55" s="83"/>
      <c r="CR55" s="83"/>
      <c r="CS55" s="83"/>
    </row>
    <row r="56" spans="1:102" ht="15" x14ac:dyDescent="0.25">
      <c r="A56" s="83"/>
      <c r="B56" s="136">
        <v>28</v>
      </c>
      <c r="C56" s="158"/>
      <c r="D56" s="158"/>
      <c r="E56" s="158"/>
      <c r="F56" s="158"/>
      <c r="G56" s="158"/>
      <c r="H56" s="158"/>
      <c r="I56" s="166"/>
      <c r="J56" s="158"/>
      <c r="K56" s="158"/>
      <c r="L56" s="158"/>
      <c r="M56" s="158"/>
      <c r="N56" s="128"/>
      <c r="O56" s="158"/>
      <c r="P56" s="158"/>
      <c r="Q56" s="158"/>
      <c r="R56" s="158"/>
      <c r="S56" s="158"/>
      <c r="T56" s="158"/>
      <c r="U56" s="166"/>
      <c r="V56" s="158"/>
      <c r="W56" s="158"/>
      <c r="X56" s="158"/>
      <c r="Y56" s="158"/>
      <c r="Z56" s="83"/>
      <c r="AA56" s="166"/>
      <c r="AB56" s="158"/>
      <c r="AC56" s="158"/>
      <c r="AD56" s="158"/>
      <c r="AE56" s="158"/>
      <c r="AF56" s="158"/>
      <c r="AG56" s="158"/>
      <c r="AH56" s="166"/>
      <c r="AI56" s="158"/>
      <c r="AJ56" s="158"/>
      <c r="AK56" s="158"/>
      <c r="AL56" s="158"/>
      <c r="AM56" s="128"/>
      <c r="AN56" s="166"/>
      <c r="AO56" s="158"/>
      <c r="AP56" s="158"/>
      <c r="AQ56" s="158"/>
      <c r="AR56" s="158"/>
      <c r="AS56" s="158"/>
      <c r="AT56" s="166"/>
      <c r="AU56" s="166"/>
      <c r="AV56" s="158"/>
      <c r="AW56" s="158"/>
      <c r="AX56" s="158"/>
      <c r="AY56" s="83"/>
      <c r="AZ56" s="83">
        <v>11.15</v>
      </c>
      <c r="BA56" s="154">
        <v>1.5</v>
      </c>
      <c r="BB56" s="154">
        <v>0</v>
      </c>
      <c r="BC56" s="154">
        <v>0</v>
      </c>
      <c r="BD56" s="154">
        <v>0</v>
      </c>
      <c r="BE56" s="196">
        <f t="shared" si="0"/>
        <v>0.375</v>
      </c>
      <c r="BF56" s="196">
        <f t="shared" si="1"/>
        <v>200</v>
      </c>
      <c r="BG56" s="196">
        <f t="shared" si="2"/>
        <v>0.75</v>
      </c>
      <c r="BH56" s="83">
        <v>11.15</v>
      </c>
      <c r="BI56" s="154">
        <v>5</v>
      </c>
      <c r="BJ56" s="154">
        <v>0</v>
      </c>
      <c r="BK56" s="154">
        <v>158</v>
      </c>
      <c r="BL56" s="154">
        <v>0</v>
      </c>
      <c r="BM56" s="196">
        <f t="shared" si="3"/>
        <v>40.75</v>
      </c>
      <c r="BN56" s="196">
        <f t="shared" si="4"/>
        <v>191.90722747265079</v>
      </c>
      <c r="BO56" s="196">
        <f t="shared" si="5"/>
        <v>78.20219519510519</v>
      </c>
      <c r="BP56" s="83"/>
      <c r="BQ56" s="83"/>
      <c r="BR56" s="83"/>
      <c r="BS56" s="83"/>
      <c r="BT56" s="83"/>
      <c r="BU56" s="83"/>
      <c r="BV56" s="83"/>
      <c r="BW56" s="83"/>
      <c r="BX56" s="83"/>
      <c r="BY56" s="83"/>
      <c r="BZ56" s="83"/>
      <c r="CA56" s="83"/>
      <c r="CB56" s="83"/>
      <c r="CC56" s="83"/>
      <c r="CD56" s="83"/>
      <c r="CE56" s="83"/>
      <c r="CF56" s="83"/>
      <c r="CG56" s="83"/>
      <c r="CH56" s="83"/>
      <c r="CI56" s="83"/>
      <c r="CJ56" s="83"/>
      <c r="CK56" s="83"/>
      <c r="CL56" s="83"/>
      <c r="CM56" s="83"/>
      <c r="CN56" s="83"/>
      <c r="CO56" s="83"/>
      <c r="CP56" s="83"/>
      <c r="CQ56" s="83"/>
      <c r="CR56" s="83"/>
      <c r="CS56" s="83"/>
    </row>
    <row r="57" spans="1:102" ht="15" x14ac:dyDescent="0.25">
      <c r="A57" s="83"/>
      <c r="B57" s="136">
        <v>32</v>
      </c>
      <c r="C57" s="158"/>
      <c r="D57" s="158"/>
      <c r="E57" s="158"/>
      <c r="F57" s="158"/>
      <c r="G57" s="158"/>
      <c r="H57" s="158"/>
      <c r="I57" s="166"/>
      <c r="J57" s="166"/>
      <c r="K57" s="158"/>
      <c r="L57" s="158"/>
      <c r="M57" s="158"/>
      <c r="N57" s="128"/>
      <c r="O57" s="158"/>
      <c r="P57" s="158"/>
      <c r="Q57" s="158"/>
      <c r="R57" s="158"/>
      <c r="S57" s="158"/>
      <c r="T57" s="158"/>
      <c r="U57" s="166"/>
      <c r="V57" s="158"/>
      <c r="W57" s="158"/>
      <c r="X57" s="158"/>
      <c r="Y57" s="158"/>
      <c r="Z57" s="83"/>
      <c r="AA57" s="166"/>
      <c r="AB57" s="166"/>
      <c r="AC57" s="158"/>
      <c r="AD57" s="158"/>
      <c r="AE57" s="158"/>
      <c r="AF57" s="158"/>
      <c r="AG57" s="158"/>
      <c r="AH57" s="166"/>
      <c r="AI57" s="166"/>
      <c r="AJ57" s="158"/>
      <c r="AK57" s="158"/>
      <c r="AL57" s="158"/>
      <c r="AM57" s="128"/>
      <c r="AN57" s="166"/>
      <c r="AO57" s="166"/>
      <c r="AP57" s="158"/>
      <c r="AQ57" s="158"/>
      <c r="AR57" s="166"/>
      <c r="AS57" s="158"/>
      <c r="AT57" s="166"/>
      <c r="AU57" s="166"/>
      <c r="AV57" s="158"/>
      <c r="AW57" s="158"/>
      <c r="AX57" s="158"/>
      <c r="AY57" s="83"/>
      <c r="AZ57" s="83">
        <v>12</v>
      </c>
      <c r="BA57" s="154">
        <v>1.37</v>
      </c>
      <c r="BB57" s="154">
        <v>0</v>
      </c>
      <c r="BC57" s="154">
        <v>0</v>
      </c>
      <c r="BD57" s="154">
        <v>0</v>
      </c>
      <c r="BE57" s="196">
        <f t="shared" si="0"/>
        <v>0.34250000000000003</v>
      </c>
      <c r="BF57" s="196">
        <f t="shared" si="1"/>
        <v>199.99999999999997</v>
      </c>
      <c r="BG57" s="196">
        <f t="shared" si="2"/>
        <v>0.68500000000000005</v>
      </c>
      <c r="BH57" s="83">
        <v>12</v>
      </c>
      <c r="BI57" s="154">
        <v>4.6100000000000003</v>
      </c>
      <c r="BJ57" s="154">
        <v>0</v>
      </c>
      <c r="BK57" s="154">
        <v>43.8</v>
      </c>
      <c r="BL57" s="154">
        <v>0</v>
      </c>
      <c r="BM57" s="196">
        <f t="shared" si="3"/>
        <v>12.102499999999999</v>
      </c>
      <c r="BN57" s="196">
        <f t="shared" si="4"/>
        <v>175.52668556588384</v>
      </c>
      <c r="BO57" s="196">
        <f t="shared" si="5"/>
        <v>21.243117120611089</v>
      </c>
      <c r="BP57" s="83"/>
      <c r="BQ57" s="83"/>
      <c r="BR57" s="83"/>
      <c r="BS57" s="83"/>
      <c r="BT57" s="83"/>
      <c r="BU57" s="83"/>
      <c r="BV57" s="83"/>
      <c r="BW57" s="83"/>
      <c r="BX57" s="83"/>
      <c r="BY57" s="83"/>
      <c r="BZ57" s="83"/>
      <c r="CA57" s="83"/>
      <c r="CB57" s="83"/>
      <c r="CC57" s="83"/>
      <c r="CD57" s="83"/>
      <c r="CE57" s="83"/>
      <c r="CF57" s="83"/>
      <c r="CG57" s="83"/>
      <c r="CH57" s="83"/>
      <c r="CI57" s="83"/>
      <c r="CJ57" s="83"/>
      <c r="CK57" s="83"/>
      <c r="CL57" s="83"/>
      <c r="CM57" s="83"/>
      <c r="CN57" s="83"/>
      <c r="CO57" s="83"/>
      <c r="CP57" s="83"/>
      <c r="CQ57" s="83"/>
      <c r="CR57" s="83"/>
      <c r="CS57" s="83"/>
    </row>
    <row r="58" spans="1:102" x14ac:dyDescent="0.2">
      <c r="A58" s="83"/>
      <c r="B58" s="83"/>
      <c r="AM58" s="149"/>
      <c r="AN58" s="149"/>
      <c r="AO58" s="136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3"/>
      <c r="BM58" s="83"/>
      <c r="BN58" s="83"/>
      <c r="BO58" s="83"/>
      <c r="BP58" s="83"/>
      <c r="BQ58" s="83"/>
      <c r="BR58" s="83"/>
      <c r="BS58" s="83"/>
      <c r="BT58" s="83"/>
      <c r="BU58" s="83"/>
      <c r="BV58" s="83"/>
      <c r="BW58" s="83"/>
      <c r="BX58" s="83"/>
      <c r="BY58" s="83"/>
      <c r="BZ58" s="83"/>
      <c r="CA58" s="83"/>
      <c r="CB58" s="83"/>
      <c r="CC58" s="83"/>
      <c r="CD58" s="83"/>
      <c r="CE58" s="83"/>
      <c r="CF58" s="83"/>
      <c r="CG58" s="83"/>
      <c r="CH58" s="83"/>
      <c r="CI58" s="83"/>
      <c r="CJ58" s="83"/>
      <c r="CK58" s="83"/>
      <c r="CL58" s="83"/>
      <c r="CM58" s="83"/>
      <c r="CN58" s="83"/>
      <c r="CO58" s="83"/>
      <c r="CP58" s="83"/>
      <c r="CQ58" s="83"/>
      <c r="CR58" s="83"/>
      <c r="CS58" s="83"/>
      <c r="CT58" s="83"/>
      <c r="CU58" s="83"/>
      <c r="CV58" s="83"/>
      <c r="CW58" s="83"/>
      <c r="CX58" s="83"/>
    </row>
    <row r="59" spans="1:102" x14ac:dyDescent="0.2">
      <c r="A59" s="83"/>
      <c r="B59" s="83"/>
      <c r="AM59" s="149"/>
      <c r="AN59" s="149"/>
      <c r="AO59" s="136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3"/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3"/>
      <c r="BM59" s="83"/>
      <c r="BN59" s="83"/>
      <c r="BO59" s="83"/>
      <c r="BP59" s="83"/>
      <c r="BQ59" s="83"/>
      <c r="BR59" s="83"/>
      <c r="BS59" s="83"/>
      <c r="BT59" s="83"/>
      <c r="BU59" s="83"/>
      <c r="BV59" s="83"/>
      <c r="BW59" s="83"/>
      <c r="BX59" s="83"/>
      <c r="BY59" s="83"/>
      <c r="BZ59" s="83"/>
      <c r="CA59" s="83"/>
      <c r="CB59" s="83"/>
      <c r="CC59" s="83"/>
      <c r="CD59" s="83"/>
      <c r="CE59" s="83"/>
      <c r="CF59" s="83"/>
      <c r="CG59" s="83"/>
      <c r="CH59" s="83"/>
      <c r="CI59" s="83"/>
      <c r="CJ59" s="83"/>
      <c r="CK59" s="83"/>
      <c r="CL59" s="83"/>
      <c r="CM59" s="83"/>
      <c r="CN59" s="83"/>
      <c r="CO59" s="83"/>
      <c r="CP59" s="83"/>
      <c r="CQ59" s="83"/>
      <c r="CR59" s="83"/>
      <c r="CS59" s="83"/>
      <c r="CT59" s="83"/>
      <c r="CU59" s="83"/>
      <c r="CV59" s="83"/>
      <c r="CW59" s="83"/>
      <c r="CX59" s="83"/>
    </row>
    <row r="60" spans="1:102" x14ac:dyDescent="0.2">
      <c r="A60" s="83"/>
      <c r="B60" s="83"/>
      <c r="AM60" s="149"/>
      <c r="AN60" s="149"/>
      <c r="AO60" s="136"/>
      <c r="AP60" s="83"/>
      <c r="AQ60" s="83"/>
      <c r="AR60" s="83"/>
      <c r="AS60" s="83"/>
      <c r="AT60" s="83"/>
      <c r="AU60" s="83"/>
      <c r="AV60" s="83"/>
      <c r="AW60" s="83"/>
      <c r="AX60" s="83"/>
      <c r="AY60" s="83"/>
      <c r="AZ60" s="83"/>
      <c r="BA60" s="83"/>
      <c r="BB60" s="83"/>
      <c r="BC60" s="83"/>
      <c r="BD60" s="83"/>
      <c r="BE60" s="83"/>
      <c r="BF60" s="83"/>
      <c r="BG60" s="83"/>
      <c r="BH60" s="83"/>
      <c r="BI60" s="83"/>
      <c r="BJ60" s="83"/>
      <c r="BK60" s="83"/>
      <c r="BL60" s="83"/>
      <c r="BM60" s="83"/>
      <c r="BN60" s="83"/>
      <c r="BO60" s="83"/>
      <c r="BP60" s="83"/>
      <c r="BQ60" s="83"/>
      <c r="BR60" s="83"/>
      <c r="BS60" s="83"/>
      <c r="BT60" s="83"/>
      <c r="BU60" s="83"/>
      <c r="BV60" s="83"/>
      <c r="BW60" s="83"/>
      <c r="BX60" s="83"/>
      <c r="BY60" s="83"/>
      <c r="BZ60" s="83"/>
      <c r="CA60" s="83"/>
      <c r="CB60" s="83"/>
      <c r="CC60" s="83"/>
      <c r="CD60" s="83"/>
      <c r="CE60" s="83"/>
      <c r="CF60" s="83"/>
      <c r="CG60" s="83"/>
      <c r="CH60" s="83"/>
      <c r="CI60" s="83"/>
      <c r="CJ60" s="83"/>
      <c r="CK60" s="83"/>
      <c r="CL60" s="83"/>
      <c r="CM60" s="83"/>
      <c r="CN60" s="83"/>
      <c r="CO60" s="83"/>
      <c r="CP60" s="83"/>
      <c r="CQ60" s="83"/>
      <c r="CR60" s="83"/>
      <c r="CS60" s="83"/>
      <c r="CT60" s="83"/>
      <c r="CU60" s="83"/>
      <c r="CV60" s="83"/>
      <c r="CW60" s="83"/>
      <c r="CX60" s="83"/>
    </row>
    <row r="61" spans="1:102" x14ac:dyDescent="0.2">
      <c r="A61" s="83"/>
      <c r="B61" s="83"/>
      <c r="AM61" s="149"/>
      <c r="AN61" s="149"/>
      <c r="AO61" s="136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  <c r="BD61" s="83"/>
      <c r="BE61" s="83"/>
      <c r="BF61" s="83"/>
      <c r="BG61" s="83"/>
      <c r="BH61" s="83"/>
      <c r="BI61" s="83"/>
      <c r="BJ61" s="83"/>
      <c r="BK61" s="83"/>
      <c r="BL61" s="83"/>
      <c r="BM61" s="83"/>
      <c r="BN61" s="83"/>
      <c r="BO61" s="83"/>
      <c r="BP61" s="83"/>
      <c r="BQ61" s="83"/>
      <c r="BR61" s="83"/>
      <c r="BS61" s="83"/>
      <c r="BT61" s="83"/>
      <c r="BU61" s="83"/>
      <c r="BV61" s="83"/>
      <c r="BW61" s="83"/>
      <c r="BX61" s="83"/>
      <c r="BY61" s="83"/>
      <c r="BZ61" s="83"/>
      <c r="CA61" s="83"/>
      <c r="CB61" s="83"/>
      <c r="CC61" s="83"/>
      <c r="CD61" s="83"/>
      <c r="CE61" s="83"/>
      <c r="CF61" s="83"/>
      <c r="CG61" s="83"/>
      <c r="CH61" s="83"/>
      <c r="CI61" s="83"/>
      <c r="CJ61" s="83"/>
      <c r="CK61" s="83"/>
      <c r="CL61" s="83"/>
      <c r="CM61" s="83"/>
      <c r="CN61" s="83"/>
      <c r="CO61" s="83"/>
      <c r="CP61" s="83"/>
      <c r="CQ61" s="83"/>
      <c r="CR61" s="83"/>
      <c r="CS61" s="83"/>
      <c r="CT61" s="83"/>
      <c r="CU61" s="83"/>
      <c r="CV61" s="83"/>
      <c r="CW61" s="83"/>
      <c r="CX61" s="83"/>
    </row>
    <row r="62" spans="1:102" x14ac:dyDescent="0.2">
      <c r="A62" s="83"/>
      <c r="B62" s="83"/>
      <c r="AM62" s="149"/>
      <c r="AN62" s="149"/>
      <c r="AO62" s="136"/>
      <c r="AP62" s="83"/>
      <c r="AQ62" s="83"/>
      <c r="AR62" s="83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  <c r="BH62" s="83"/>
      <c r="BI62" s="83"/>
      <c r="BJ62" s="83"/>
      <c r="BK62" s="83"/>
      <c r="BL62" s="83"/>
      <c r="BM62" s="83"/>
      <c r="BN62" s="83"/>
      <c r="BO62" s="83"/>
      <c r="BP62" s="83"/>
      <c r="BQ62" s="83"/>
      <c r="BR62" s="83"/>
      <c r="BS62" s="83"/>
      <c r="BT62" s="83"/>
      <c r="BU62" s="83"/>
      <c r="BV62" s="83"/>
      <c r="BW62" s="83"/>
      <c r="BX62" s="83"/>
      <c r="BY62" s="83"/>
      <c r="BZ62" s="83"/>
      <c r="CA62" s="83"/>
      <c r="CB62" s="83"/>
      <c r="CC62" s="83"/>
      <c r="CD62" s="83"/>
      <c r="CE62" s="83"/>
      <c r="CF62" s="83"/>
      <c r="CG62" s="83"/>
      <c r="CH62" s="83"/>
      <c r="CI62" s="83"/>
      <c r="CJ62" s="83"/>
      <c r="CK62" s="83"/>
      <c r="CL62" s="83"/>
      <c r="CM62" s="83"/>
      <c r="CN62" s="83"/>
      <c r="CO62" s="83"/>
      <c r="CP62" s="83"/>
      <c r="CQ62" s="83"/>
      <c r="CR62" s="83"/>
      <c r="CS62" s="83"/>
      <c r="CT62" s="83"/>
      <c r="CU62" s="83"/>
      <c r="CV62" s="83"/>
      <c r="CW62" s="83"/>
      <c r="CX62" s="83"/>
    </row>
    <row r="63" spans="1:102" x14ac:dyDescent="0.2">
      <c r="A63" s="83"/>
      <c r="B63" s="83"/>
      <c r="AM63" s="149"/>
      <c r="AN63" s="149"/>
      <c r="AO63" s="136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  <c r="BM63" s="83"/>
      <c r="BN63" s="83"/>
      <c r="BO63" s="83"/>
      <c r="BP63" s="83"/>
      <c r="BQ63" s="83"/>
      <c r="BR63" s="83"/>
      <c r="BS63" s="83"/>
      <c r="BT63" s="83"/>
      <c r="BU63" s="83"/>
      <c r="BV63" s="83"/>
      <c r="BW63" s="83"/>
      <c r="BX63" s="83"/>
      <c r="BY63" s="83"/>
      <c r="BZ63" s="83"/>
      <c r="CA63" s="83"/>
      <c r="CB63" s="83"/>
      <c r="CC63" s="83"/>
      <c r="CD63" s="83"/>
      <c r="CE63" s="83"/>
      <c r="CF63" s="83"/>
      <c r="CG63" s="83"/>
      <c r="CH63" s="83"/>
      <c r="CI63" s="83"/>
      <c r="CJ63" s="83"/>
      <c r="CK63" s="83"/>
      <c r="CL63" s="83"/>
      <c r="CM63" s="83"/>
      <c r="CN63" s="83"/>
      <c r="CO63" s="83"/>
      <c r="CP63" s="83"/>
      <c r="CQ63" s="83"/>
      <c r="CR63" s="83"/>
      <c r="CS63" s="83"/>
      <c r="CT63" s="83"/>
      <c r="CU63" s="83"/>
      <c r="CV63" s="83"/>
      <c r="CW63" s="83"/>
      <c r="CX63" s="83"/>
    </row>
    <row r="64" spans="1:102" x14ac:dyDescent="0.2">
      <c r="A64" s="83"/>
      <c r="B64" s="83"/>
      <c r="AM64" s="149"/>
      <c r="AN64" s="149"/>
      <c r="AO64" s="136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  <c r="BM64" s="83"/>
      <c r="BN64" s="83"/>
      <c r="BO64" s="83"/>
      <c r="BP64" s="83"/>
      <c r="BQ64" s="83"/>
      <c r="BR64" s="83"/>
      <c r="BS64" s="83"/>
      <c r="BT64" s="83"/>
      <c r="BU64" s="83"/>
      <c r="BV64" s="83"/>
      <c r="BW64" s="83"/>
      <c r="BX64" s="83"/>
      <c r="BY64" s="83"/>
      <c r="BZ64" s="83"/>
      <c r="CA64" s="83"/>
      <c r="CB64" s="83"/>
      <c r="CC64" s="83"/>
      <c r="CD64" s="83"/>
      <c r="CE64" s="83"/>
      <c r="CF64" s="83"/>
      <c r="CG64" s="83"/>
      <c r="CH64" s="83"/>
      <c r="CI64" s="83"/>
      <c r="CJ64" s="83"/>
      <c r="CK64" s="83"/>
      <c r="CL64" s="83"/>
      <c r="CM64" s="83"/>
      <c r="CN64" s="83"/>
      <c r="CO64" s="83"/>
      <c r="CP64" s="83"/>
      <c r="CQ64" s="83"/>
      <c r="CR64" s="83"/>
      <c r="CS64" s="83"/>
      <c r="CT64" s="83"/>
      <c r="CU64" s="83"/>
      <c r="CV64" s="83"/>
      <c r="CW64" s="83"/>
      <c r="CX64" s="83"/>
    </row>
    <row r="65" spans="1:102" x14ac:dyDescent="0.2">
      <c r="A65" s="83"/>
      <c r="B65" s="83"/>
      <c r="AM65" s="149"/>
      <c r="AN65" s="149"/>
      <c r="AO65" s="136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  <c r="BM65" s="83"/>
      <c r="BN65" s="83"/>
      <c r="BO65" s="83"/>
      <c r="BP65" s="83"/>
      <c r="BQ65" s="83"/>
      <c r="BR65" s="83"/>
      <c r="BS65" s="83"/>
      <c r="BT65" s="83"/>
      <c r="BU65" s="83"/>
      <c r="BV65" s="83"/>
      <c r="BW65" s="83"/>
      <c r="BX65" s="83"/>
      <c r="BY65" s="83"/>
      <c r="BZ65" s="83"/>
      <c r="CA65" s="83"/>
      <c r="CB65" s="83"/>
      <c r="CC65" s="83"/>
      <c r="CD65" s="83"/>
      <c r="CE65" s="83"/>
      <c r="CF65" s="83"/>
      <c r="CG65" s="83"/>
      <c r="CH65" s="83"/>
      <c r="CI65" s="83"/>
      <c r="CJ65" s="83"/>
      <c r="CK65" s="83"/>
      <c r="CL65" s="83"/>
      <c r="CM65" s="83"/>
      <c r="CN65" s="83"/>
      <c r="CO65" s="83"/>
      <c r="CP65" s="83"/>
      <c r="CQ65" s="83"/>
      <c r="CR65" s="83"/>
      <c r="CS65" s="83"/>
      <c r="CT65" s="83"/>
      <c r="CU65" s="83"/>
      <c r="CV65" s="83"/>
      <c r="CW65" s="83"/>
      <c r="CX65" s="83"/>
    </row>
    <row r="66" spans="1:102" x14ac:dyDescent="0.2">
      <c r="A66" s="83"/>
      <c r="B66" s="83"/>
      <c r="AM66" s="149"/>
      <c r="AN66" s="149"/>
      <c r="AO66" s="136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 t="s">
        <v>581</v>
      </c>
      <c r="BB66" s="83" t="s">
        <v>586</v>
      </c>
      <c r="BC66" s="83"/>
      <c r="BD66" s="83" t="s">
        <v>587</v>
      </c>
      <c r="BE66" s="83" t="s">
        <v>582</v>
      </c>
      <c r="BF66" s="83" t="s">
        <v>586</v>
      </c>
      <c r="BG66" s="83"/>
      <c r="BH66" s="83" t="s">
        <v>587</v>
      </c>
      <c r="BI66" s="83" t="s">
        <v>588</v>
      </c>
      <c r="BJ66" s="83" t="s">
        <v>586</v>
      </c>
      <c r="BK66" s="83"/>
      <c r="BL66" s="83" t="s">
        <v>587</v>
      </c>
      <c r="BM66" s="83" t="s">
        <v>584</v>
      </c>
      <c r="BN66" s="83" t="s">
        <v>586</v>
      </c>
      <c r="BO66" s="83"/>
      <c r="BP66" s="83" t="s">
        <v>587</v>
      </c>
      <c r="BQ66" s="83"/>
      <c r="BR66" s="83"/>
      <c r="BS66" s="83"/>
      <c r="BT66" s="83"/>
      <c r="BU66" s="83"/>
      <c r="BV66" s="83"/>
      <c r="BW66" s="83"/>
      <c r="BX66" s="83"/>
      <c r="BY66" s="83"/>
      <c r="BZ66" s="83"/>
      <c r="CA66" s="83"/>
      <c r="CB66" s="83"/>
      <c r="CC66" s="83"/>
      <c r="CD66" s="83"/>
      <c r="CE66" s="83"/>
      <c r="CF66" s="83"/>
      <c r="CG66" s="83"/>
      <c r="CH66" s="83"/>
      <c r="CI66" s="83"/>
      <c r="CJ66" s="83"/>
      <c r="CK66" s="83"/>
      <c r="CL66" s="83"/>
      <c r="CM66" s="83"/>
      <c r="CN66" s="83"/>
      <c r="CO66" s="83"/>
      <c r="CP66" s="83"/>
      <c r="CQ66" s="83"/>
      <c r="CR66" s="83"/>
      <c r="CS66" s="83"/>
      <c r="CT66" s="83"/>
      <c r="CU66" s="83"/>
      <c r="CV66" s="83"/>
      <c r="CW66" s="83"/>
      <c r="CX66" s="83"/>
    </row>
    <row r="67" spans="1:102" x14ac:dyDescent="0.2">
      <c r="A67" s="83"/>
      <c r="B67" s="83"/>
      <c r="AM67" s="149"/>
      <c r="AN67" s="149"/>
      <c r="AO67" s="136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BA67" s="195" t="s">
        <v>488</v>
      </c>
      <c r="BB67" s="195" t="s">
        <v>396</v>
      </c>
      <c r="BC67" s="83" t="s">
        <v>488</v>
      </c>
      <c r="BD67" s="83" t="s">
        <v>396</v>
      </c>
      <c r="BE67" s="195" t="s">
        <v>488</v>
      </c>
      <c r="BF67" s="195" t="s">
        <v>396</v>
      </c>
      <c r="BG67" s="83" t="s">
        <v>488</v>
      </c>
      <c r="BH67" s="83" t="s">
        <v>396</v>
      </c>
      <c r="BI67" s="195" t="s">
        <v>488</v>
      </c>
      <c r="BJ67" s="195" t="s">
        <v>396</v>
      </c>
      <c r="BK67" s="83" t="s">
        <v>488</v>
      </c>
      <c r="BL67" s="83" t="s">
        <v>396</v>
      </c>
      <c r="BM67" s="195" t="s">
        <v>488</v>
      </c>
      <c r="BN67" s="195" t="s">
        <v>396</v>
      </c>
      <c r="BO67" s="83" t="s">
        <v>488</v>
      </c>
      <c r="BP67" s="83" t="s">
        <v>396</v>
      </c>
      <c r="BQ67" s="83"/>
      <c r="BR67" s="83"/>
      <c r="BS67" s="83"/>
      <c r="BT67" s="83"/>
      <c r="BU67" s="83"/>
      <c r="BV67" s="83"/>
      <c r="BW67" s="83"/>
      <c r="BX67" s="83"/>
      <c r="BY67" s="83"/>
      <c r="BZ67" s="83"/>
      <c r="CA67" s="83"/>
      <c r="CB67" s="83"/>
      <c r="CC67" s="83"/>
      <c r="CD67" s="83"/>
      <c r="CE67" s="83"/>
      <c r="CF67" s="83"/>
      <c r="CG67" s="83"/>
      <c r="CH67" s="83"/>
      <c r="CI67" s="83"/>
      <c r="CJ67" s="83"/>
      <c r="CK67" s="83"/>
      <c r="CL67" s="83"/>
      <c r="CM67" s="83"/>
      <c r="CN67" s="83"/>
      <c r="CO67" s="83"/>
      <c r="CP67" s="83"/>
      <c r="CQ67" s="83"/>
      <c r="CR67" s="83"/>
      <c r="CS67" s="83"/>
      <c r="CT67" s="83"/>
      <c r="CU67" s="83"/>
      <c r="CV67" s="83"/>
      <c r="CW67" s="83"/>
      <c r="CX67" s="83"/>
    </row>
    <row r="68" spans="1:102" x14ac:dyDescent="0.2">
      <c r="A68" s="83"/>
      <c r="B68" s="83"/>
      <c r="AM68" s="149"/>
      <c r="AN68" s="149"/>
      <c r="AO68" s="136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131">
        <v>0</v>
      </c>
      <c r="BA68" s="131">
        <v>0</v>
      </c>
      <c r="BE68" s="131">
        <v>0</v>
      </c>
      <c r="BG68" s="131">
        <v>0</v>
      </c>
      <c r="BI68" s="131">
        <v>0</v>
      </c>
      <c r="BK68" s="131">
        <v>0</v>
      </c>
      <c r="BM68" s="131">
        <v>0</v>
      </c>
      <c r="BO68" s="131">
        <v>0</v>
      </c>
      <c r="BQ68" s="83"/>
      <c r="BR68" s="83"/>
      <c r="BS68" s="83"/>
      <c r="BT68" s="83"/>
      <c r="BU68" s="83"/>
      <c r="BV68" s="83"/>
      <c r="BW68" s="83"/>
      <c r="BX68" s="83"/>
      <c r="BY68" s="83"/>
      <c r="BZ68" s="83"/>
      <c r="CA68" s="83"/>
      <c r="CB68" s="83"/>
      <c r="CC68" s="83"/>
      <c r="CD68" s="83"/>
      <c r="CE68" s="83"/>
      <c r="CF68" s="83"/>
      <c r="CG68" s="83"/>
      <c r="CH68" s="83"/>
      <c r="CI68" s="83"/>
      <c r="CJ68" s="83"/>
      <c r="CK68" s="83"/>
      <c r="CL68" s="83"/>
      <c r="CM68" s="83"/>
      <c r="CN68" s="83"/>
      <c r="CO68" s="83"/>
      <c r="CP68" s="83"/>
      <c r="CQ68" s="83"/>
      <c r="CR68" s="83"/>
      <c r="CS68" s="83"/>
      <c r="CT68" s="83"/>
      <c r="CU68" s="83"/>
      <c r="CV68" s="83"/>
      <c r="CW68" s="83"/>
      <c r="CX68" s="83"/>
    </row>
    <row r="69" spans="1:102" x14ac:dyDescent="0.2">
      <c r="A69" s="83"/>
      <c r="B69" s="83"/>
      <c r="C69" s="98" t="s">
        <v>381</v>
      </c>
      <c r="D69" s="98" t="s">
        <v>396</v>
      </c>
      <c r="AM69" s="149"/>
      <c r="AN69" s="149"/>
      <c r="AO69" s="136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125">
        <v>0.5</v>
      </c>
      <c r="BA69" s="125">
        <v>0.5</v>
      </c>
      <c r="BE69" s="125">
        <v>0.5</v>
      </c>
      <c r="BG69" s="125">
        <v>0.5</v>
      </c>
      <c r="BI69" s="125">
        <v>0.5</v>
      </c>
      <c r="BK69" s="125">
        <v>0.5</v>
      </c>
      <c r="BM69" s="125">
        <v>0.5</v>
      </c>
      <c r="BO69" s="125">
        <v>0.5</v>
      </c>
      <c r="BQ69" s="83"/>
      <c r="BR69" s="83"/>
      <c r="BS69" s="83"/>
      <c r="BT69" s="83"/>
      <c r="BU69" s="83"/>
      <c r="BV69" s="83"/>
      <c r="BW69" s="83"/>
      <c r="BX69" s="83"/>
      <c r="BY69" s="83"/>
      <c r="BZ69" s="83"/>
      <c r="CA69" s="83"/>
      <c r="CB69" s="83"/>
      <c r="CC69" s="83"/>
      <c r="CD69" s="83"/>
      <c r="CE69" s="83"/>
      <c r="CF69" s="83"/>
      <c r="CG69" s="83"/>
      <c r="CH69" s="83"/>
      <c r="CI69" s="83"/>
      <c r="CJ69" s="83"/>
      <c r="CK69" s="83"/>
      <c r="CL69" s="83"/>
      <c r="CM69" s="83"/>
      <c r="CN69" s="83"/>
      <c r="CO69" s="83"/>
      <c r="CP69" s="83"/>
      <c r="CQ69" s="83"/>
      <c r="CR69" s="83"/>
      <c r="CS69" s="83"/>
      <c r="CT69" s="83"/>
      <c r="CU69" s="83"/>
      <c r="CV69" s="83"/>
      <c r="CW69" s="83"/>
      <c r="CX69" s="83"/>
    </row>
    <row r="70" spans="1:102" x14ac:dyDescent="0.2">
      <c r="A70" s="83"/>
      <c r="B70" s="195" t="s">
        <v>342</v>
      </c>
      <c r="C70" s="154" t="s">
        <v>414</v>
      </c>
      <c r="AM70" s="149"/>
      <c r="AN70" s="149"/>
      <c r="AO70" s="136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98">
        <v>1</v>
      </c>
      <c r="BA70" s="98">
        <v>1</v>
      </c>
      <c r="BE70" s="98">
        <v>1</v>
      </c>
      <c r="BG70" s="98">
        <v>1</v>
      </c>
      <c r="BI70" s="98">
        <v>1</v>
      </c>
      <c r="BK70" s="98">
        <v>1</v>
      </c>
      <c r="BM70" s="98">
        <v>1</v>
      </c>
      <c r="BO70" s="98">
        <v>1</v>
      </c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  <c r="CR70" s="83"/>
      <c r="CS70" s="83"/>
      <c r="CT70" s="83"/>
      <c r="CU70" s="83"/>
      <c r="CV70" s="83"/>
      <c r="CW70" s="83"/>
      <c r="CX70" s="83"/>
    </row>
    <row r="71" spans="1:102" x14ac:dyDescent="0.2">
      <c r="A71" s="83"/>
      <c r="B71" s="277">
        <v>3.4299999999999997E-2</v>
      </c>
      <c r="C71" s="278">
        <v>3.21</v>
      </c>
      <c r="D71" s="98">
        <f>0.2674*C71</f>
        <v>0.85835400000000006</v>
      </c>
      <c r="E71" s="137">
        <v>0.85835400000000006</v>
      </c>
      <c r="AM71" s="149"/>
      <c r="AN71" s="149"/>
      <c r="AO71" s="136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>
        <v>1.5</v>
      </c>
      <c r="BA71" s="83">
        <v>1.5</v>
      </c>
      <c r="BE71" s="83">
        <v>1.5</v>
      </c>
      <c r="BG71" s="83">
        <v>1.5</v>
      </c>
      <c r="BI71" s="83">
        <v>1.5</v>
      </c>
      <c r="BK71" s="83">
        <v>1.5</v>
      </c>
      <c r="BM71" s="83">
        <v>1.5</v>
      </c>
      <c r="BO71" s="83">
        <v>1.5</v>
      </c>
      <c r="BQ71" s="83"/>
      <c r="BR71" s="83"/>
      <c r="BS71" s="83"/>
      <c r="BT71" s="83"/>
      <c r="BU71" s="83"/>
      <c r="BV71" s="83"/>
      <c r="BW71" s="83"/>
      <c r="BX71" s="83"/>
      <c r="BY71" s="83"/>
      <c r="BZ71" s="83"/>
      <c r="CA71" s="83"/>
      <c r="CB71" s="83"/>
      <c r="CC71" s="83"/>
      <c r="CD71" s="83"/>
      <c r="CE71" s="83"/>
      <c r="CF71" s="83"/>
      <c r="CG71" s="83"/>
      <c r="CH71" s="83"/>
      <c r="CI71" s="83"/>
      <c r="CJ71" s="83"/>
      <c r="CK71" s="83"/>
      <c r="CL71" s="83"/>
      <c r="CM71" s="83"/>
      <c r="CN71" s="83"/>
      <c r="CO71" s="83"/>
      <c r="CP71" s="83"/>
      <c r="CQ71" s="83"/>
      <c r="CR71" s="83"/>
      <c r="CS71" s="83"/>
      <c r="CT71" s="83"/>
      <c r="CU71" s="83"/>
      <c r="CV71" s="83"/>
      <c r="CW71" s="83"/>
      <c r="CX71" s="83"/>
    </row>
    <row r="72" spans="1:102" x14ac:dyDescent="0.2">
      <c r="A72" s="83"/>
      <c r="B72" s="277">
        <v>0.85699999999999998</v>
      </c>
      <c r="C72" s="278">
        <v>94.5</v>
      </c>
      <c r="D72" s="98">
        <f t="shared" ref="D72:D112" si="6">0.2674*C72</f>
        <v>25.269300000000001</v>
      </c>
      <c r="E72" s="137">
        <v>25.269300000000001</v>
      </c>
      <c r="AM72" s="149"/>
      <c r="AN72" s="149"/>
      <c r="AO72" s="136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>
        <v>2</v>
      </c>
      <c r="BA72" s="83">
        <v>2</v>
      </c>
      <c r="BE72" s="83">
        <v>2</v>
      </c>
      <c r="BG72" s="83">
        <v>2</v>
      </c>
      <c r="BI72" s="83">
        <v>2</v>
      </c>
      <c r="BK72" s="83">
        <v>2</v>
      </c>
      <c r="BM72" s="83">
        <v>2</v>
      </c>
      <c r="BO72" s="83">
        <v>2</v>
      </c>
      <c r="BQ72" s="83"/>
      <c r="BR72" s="83"/>
      <c r="BS72" s="83"/>
      <c r="BT72" s="83"/>
      <c r="BU72" s="83"/>
      <c r="BV72" s="83"/>
      <c r="BW72" s="83"/>
      <c r="BX72" s="83"/>
      <c r="BY72" s="83"/>
      <c r="BZ72" s="83"/>
      <c r="CA72" s="83"/>
      <c r="CB72" s="83"/>
      <c r="CC72" s="83"/>
      <c r="CD72" s="83"/>
      <c r="CE72" s="83"/>
      <c r="CF72" s="83"/>
      <c r="CG72" s="83"/>
      <c r="CH72" s="83"/>
      <c r="CI72" s="83"/>
      <c r="CJ72" s="83"/>
      <c r="CK72" s="83"/>
      <c r="CL72" s="83"/>
      <c r="CM72" s="83"/>
      <c r="CN72" s="83"/>
      <c r="CO72" s="83"/>
      <c r="CP72" s="83"/>
      <c r="CQ72" s="83"/>
      <c r="CR72" s="83"/>
      <c r="CS72" s="83"/>
      <c r="CT72" s="83"/>
      <c r="CU72" s="83"/>
      <c r="CV72" s="83"/>
      <c r="CW72" s="83"/>
      <c r="CX72" s="83"/>
    </row>
    <row r="73" spans="1:102" x14ac:dyDescent="0.2">
      <c r="A73" s="83"/>
      <c r="B73" s="277">
        <v>1.1000000000000001</v>
      </c>
      <c r="C73" s="278">
        <v>143</v>
      </c>
      <c r="D73" s="98">
        <f t="shared" si="6"/>
        <v>38.238200000000006</v>
      </c>
      <c r="E73" s="137">
        <v>38.238200000000006</v>
      </c>
      <c r="AM73" s="149"/>
      <c r="AN73" s="149"/>
      <c r="AO73" s="136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>
        <v>2.5</v>
      </c>
      <c r="BA73" s="83">
        <v>2.5</v>
      </c>
      <c r="BE73" s="83">
        <v>2.5</v>
      </c>
      <c r="BG73" s="83">
        <v>2.5</v>
      </c>
      <c r="BI73" s="83">
        <v>2.5</v>
      </c>
      <c r="BK73" s="83">
        <v>2.5</v>
      </c>
      <c r="BM73" s="83">
        <v>2.5</v>
      </c>
      <c r="BO73" s="83">
        <v>2.5</v>
      </c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  <c r="CR73" s="83"/>
      <c r="CS73" s="83"/>
      <c r="CT73" s="83"/>
      <c r="CU73" s="83"/>
      <c r="CV73" s="83"/>
      <c r="CW73" s="83"/>
      <c r="CX73" s="83"/>
    </row>
    <row r="74" spans="1:102" x14ac:dyDescent="0.2">
      <c r="A74" s="83"/>
      <c r="B74" s="277">
        <v>1.44</v>
      </c>
      <c r="C74" s="278">
        <v>169</v>
      </c>
      <c r="D74" s="98">
        <f t="shared" si="6"/>
        <v>45.190600000000003</v>
      </c>
      <c r="E74" s="137">
        <v>45.190600000000003</v>
      </c>
      <c r="AM74" s="149"/>
      <c r="AN74" s="149"/>
      <c r="AO74" s="136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>
        <v>3</v>
      </c>
      <c r="BA74" s="83">
        <v>3</v>
      </c>
      <c r="BE74" s="83">
        <v>3</v>
      </c>
      <c r="BG74" s="83">
        <v>3</v>
      </c>
      <c r="BI74" s="83">
        <v>3</v>
      </c>
      <c r="BK74" s="83">
        <v>3</v>
      </c>
      <c r="BM74" s="83">
        <v>3</v>
      </c>
      <c r="BO74" s="83">
        <v>3</v>
      </c>
      <c r="BQ74" s="83"/>
      <c r="BR74" s="83"/>
      <c r="BS74" s="83"/>
      <c r="BT74" s="83"/>
      <c r="BU74" s="83"/>
      <c r="BV74" s="83"/>
      <c r="BW74" s="83"/>
      <c r="BX74" s="83"/>
      <c r="BY74" s="83"/>
      <c r="BZ74" s="83"/>
      <c r="CA74" s="83"/>
      <c r="CB74" s="83"/>
      <c r="CC74" s="83"/>
      <c r="CD74" s="83"/>
      <c r="CE74" s="83"/>
      <c r="CF74" s="83"/>
      <c r="CG74" s="83"/>
      <c r="CH74" s="83"/>
      <c r="CI74" s="83"/>
      <c r="CJ74" s="83"/>
      <c r="CK74" s="83"/>
      <c r="CL74" s="83"/>
      <c r="CM74" s="83"/>
      <c r="CN74" s="83"/>
      <c r="CO74" s="83"/>
      <c r="CP74" s="83"/>
      <c r="CQ74" s="83"/>
      <c r="CR74" s="83"/>
      <c r="CS74" s="83"/>
      <c r="CT74" s="83"/>
      <c r="CU74" s="83"/>
      <c r="CV74" s="83"/>
      <c r="CW74" s="83"/>
      <c r="CX74" s="83"/>
    </row>
    <row r="75" spans="1:102" x14ac:dyDescent="0.2">
      <c r="A75" s="83"/>
      <c r="B75" s="277">
        <v>2.06</v>
      </c>
      <c r="C75" s="278">
        <v>173</v>
      </c>
      <c r="D75" s="98">
        <f t="shared" si="6"/>
        <v>46.260200000000005</v>
      </c>
      <c r="E75" s="137">
        <v>46.260200000000005</v>
      </c>
      <c r="AM75" s="149"/>
      <c r="AN75" s="149"/>
      <c r="AO75" s="136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>
        <v>4</v>
      </c>
      <c r="BA75" s="83">
        <v>4</v>
      </c>
      <c r="BE75" s="83">
        <v>4</v>
      </c>
      <c r="BG75" s="83">
        <v>4</v>
      </c>
      <c r="BI75" s="83">
        <v>4</v>
      </c>
      <c r="BK75" s="83">
        <v>4</v>
      </c>
      <c r="BM75" s="83">
        <v>4</v>
      </c>
      <c r="BO75" s="83">
        <v>4</v>
      </c>
      <c r="BQ75" s="83"/>
      <c r="BR75" s="83"/>
      <c r="BS75" s="83"/>
      <c r="BT75" s="83"/>
      <c r="BU75" s="83"/>
      <c r="BV75" s="83"/>
      <c r="BW75" s="83"/>
      <c r="BX75" s="83"/>
      <c r="BY75" s="83"/>
      <c r="BZ75" s="83"/>
      <c r="CA75" s="83"/>
      <c r="CB75" s="83"/>
      <c r="CC75" s="83"/>
      <c r="CD75" s="83"/>
      <c r="CE75" s="83"/>
      <c r="CF75" s="83"/>
      <c r="CG75" s="83"/>
      <c r="CH75" s="83"/>
      <c r="CI75" s="83"/>
      <c r="CJ75" s="83"/>
      <c r="CK75" s="83"/>
      <c r="CL75" s="83"/>
      <c r="CM75" s="83"/>
      <c r="CN75" s="83"/>
      <c r="CO75" s="83"/>
      <c r="CP75" s="83"/>
      <c r="CQ75" s="83"/>
      <c r="CR75" s="83"/>
      <c r="CS75" s="83"/>
      <c r="CT75" s="83"/>
      <c r="CU75" s="83"/>
      <c r="CV75" s="83"/>
      <c r="CW75" s="83"/>
      <c r="CX75" s="83"/>
    </row>
    <row r="76" spans="1:102" x14ac:dyDescent="0.2">
      <c r="A76" s="83"/>
      <c r="B76" s="277">
        <v>3.63</v>
      </c>
      <c r="C76" s="278">
        <v>113</v>
      </c>
      <c r="D76" s="98">
        <f t="shared" si="6"/>
        <v>30.216200000000004</v>
      </c>
      <c r="E76" s="137">
        <v>30.216200000000004</v>
      </c>
      <c r="AM76" s="149"/>
      <c r="AN76" s="149"/>
      <c r="AO76" s="136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>
        <v>5</v>
      </c>
      <c r="BA76" s="83">
        <v>5</v>
      </c>
      <c r="BE76" s="83">
        <v>5</v>
      </c>
      <c r="BG76" s="83">
        <v>5</v>
      </c>
      <c r="BI76" s="83">
        <v>5</v>
      </c>
      <c r="BK76" s="83">
        <v>5</v>
      </c>
      <c r="BM76" s="83">
        <v>5</v>
      </c>
      <c r="BO76" s="83">
        <v>5</v>
      </c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  <c r="CR76" s="83"/>
      <c r="CS76" s="83"/>
      <c r="CT76" s="83"/>
      <c r="CU76" s="83"/>
      <c r="CV76" s="83"/>
      <c r="CW76" s="83"/>
      <c r="CX76" s="83"/>
    </row>
    <row r="77" spans="1:102" x14ac:dyDescent="0.2">
      <c r="A77" s="83"/>
      <c r="B77" s="277">
        <v>4.04</v>
      </c>
      <c r="C77" s="279">
        <v>91.1</v>
      </c>
      <c r="D77" s="98">
        <f t="shared" si="6"/>
        <v>24.360140000000001</v>
      </c>
      <c r="E77" s="268">
        <v>24.360140000000001</v>
      </c>
      <c r="F77" s="255"/>
      <c r="G77" s="255"/>
      <c r="H77" s="255"/>
      <c r="I77" s="255"/>
      <c r="J77" s="255"/>
      <c r="K77" s="255"/>
      <c r="L77" s="255"/>
      <c r="M77" s="255"/>
      <c r="AM77" s="149"/>
      <c r="AN77" s="149"/>
      <c r="AO77" s="136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>
        <v>6</v>
      </c>
      <c r="BA77" s="83">
        <v>6</v>
      </c>
      <c r="BE77" s="83">
        <v>6</v>
      </c>
      <c r="BG77" s="83">
        <v>6</v>
      </c>
      <c r="BI77" s="83">
        <v>6</v>
      </c>
      <c r="BK77" s="83">
        <v>6</v>
      </c>
      <c r="BM77" s="83">
        <v>6</v>
      </c>
      <c r="BO77" s="83">
        <v>6</v>
      </c>
      <c r="BQ77" s="83"/>
      <c r="BR77" s="83"/>
      <c r="BS77" s="83"/>
      <c r="BT77" s="83"/>
      <c r="BU77" s="83"/>
      <c r="BV77" s="83"/>
      <c r="BW77" s="83"/>
      <c r="BX77" s="83"/>
      <c r="BY77" s="83"/>
      <c r="BZ77" s="83"/>
      <c r="CA77" s="83"/>
      <c r="CB77" s="83"/>
      <c r="CC77" s="83"/>
      <c r="CD77" s="83"/>
      <c r="CE77" s="83"/>
      <c r="CF77" s="83"/>
      <c r="CG77" s="83"/>
      <c r="CH77" s="83"/>
      <c r="CI77" s="83"/>
      <c r="CJ77" s="83"/>
      <c r="CK77" s="83"/>
      <c r="CL77" s="83"/>
      <c r="CM77" s="83"/>
      <c r="CN77" s="83"/>
      <c r="CO77" s="83"/>
      <c r="CP77" s="83"/>
      <c r="CQ77" s="83"/>
      <c r="CR77" s="83"/>
      <c r="CS77" s="83"/>
      <c r="CT77" s="83"/>
      <c r="CU77" s="83"/>
      <c r="CV77" s="83"/>
      <c r="CW77" s="83"/>
      <c r="CX77" s="83"/>
    </row>
    <row r="78" spans="1:102" ht="15" x14ac:dyDescent="0.2">
      <c r="A78" s="83"/>
      <c r="B78" s="277">
        <v>5.79</v>
      </c>
      <c r="C78" s="280">
        <v>55.8</v>
      </c>
      <c r="D78" s="98">
        <f t="shared" si="6"/>
        <v>14.920920000000001</v>
      </c>
      <c r="E78" s="269">
        <v>14.920920000000001</v>
      </c>
      <c r="F78" s="256"/>
      <c r="G78" s="257"/>
      <c r="H78" s="256"/>
      <c r="I78" s="256"/>
      <c r="J78" s="256"/>
      <c r="K78" s="256"/>
      <c r="L78" s="256"/>
      <c r="M78" s="256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>
        <v>7</v>
      </c>
      <c r="BA78" s="83">
        <v>7</v>
      </c>
      <c r="BE78" s="83">
        <v>7</v>
      </c>
      <c r="BG78" s="83">
        <v>7</v>
      </c>
      <c r="BI78" s="83">
        <v>7</v>
      </c>
      <c r="BK78" s="83">
        <v>7</v>
      </c>
      <c r="BM78" s="83">
        <v>7</v>
      </c>
      <c r="BO78" s="83">
        <v>7</v>
      </c>
      <c r="BQ78" s="83"/>
      <c r="BR78" s="83"/>
      <c r="BS78" s="83"/>
      <c r="BT78" s="83"/>
      <c r="BU78" s="83"/>
      <c r="BV78" s="83"/>
      <c r="BW78" s="83"/>
      <c r="BX78" s="83"/>
      <c r="BY78" s="83"/>
      <c r="BZ78" s="83"/>
      <c r="CA78" s="83"/>
      <c r="CB78" s="83"/>
      <c r="CC78" s="83"/>
      <c r="CD78" s="83"/>
      <c r="CE78" s="83"/>
      <c r="CF78" s="83"/>
      <c r="CG78" s="83"/>
      <c r="CH78" s="83"/>
      <c r="CI78" s="83"/>
      <c r="CJ78" s="83"/>
      <c r="CK78" s="83"/>
      <c r="CL78" s="83"/>
      <c r="CM78" s="83"/>
      <c r="CN78" s="83"/>
      <c r="CO78" s="83"/>
      <c r="CP78" s="83"/>
      <c r="CQ78" s="83"/>
      <c r="CR78" s="83"/>
      <c r="CS78" s="83"/>
      <c r="CT78" s="83"/>
    </row>
    <row r="79" spans="1:102" x14ac:dyDescent="0.2">
      <c r="A79" s="83"/>
      <c r="B79" s="281">
        <v>7.85</v>
      </c>
      <c r="C79" s="282">
        <v>44.7</v>
      </c>
      <c r="D79" s="98">
        <f t="shared" si="6"/>
        <v>11.952780000000002</v>
      </c>
      <c r="E79" s="288">
        <v>11.952780000000002</v>
      </c>
      <c r="F79" s="258"/>
      <c r="G79" s="258"/>
      <c r="H79" s="258"/>
      <c r="I79" s="259"/>
      <c r="J79" s="259"/>
      <c r="K79" s="256"/>
      <c r="L79" s="260"/>
      <c r="M79" s="261"/>
      <c r="N79" s="147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>
        <v>8</v>
      </c>
      <c r="BA79" s="83">
        <v>8</v>
      </c>
      <c r="BE79" s="83">
        <v>8</v>
      </c>
      <c r="BG79" s="83">
        <v>8</v>
      </c>
      <c r="BI79" s="83">
        <v>8</v>
      </c>
      <c r="BK79" s="83">
        <v>8</v>
      </c>
      <c r="BM79" s="83">
        <v>8</v>
      </c>
      <c r="BO79" s="83">
        <v>8</v>
      </c>
      <c r="BQ79" s="83"/>
      <c r="BR79" s="83"/>
      <c r="BS79" s="83"/>
      <c r="BT79" s="83"/>
      <c r="BU79" s="83"/>
      <c r="BV79" s="83"/>
      <c r="BW79" s="83"/>
      <c r="BX79" s="83"/>
      <c r="BY79" s="83"/>
      <c r="BZ79" s="83"/>
      <c r="CA79" s="83"/>
      <c r="CB79" s="83"/>
      <c r="CC79" s="83"/>
      <c r="CD79" s="83"/>
      <c r="CE79" s="83"/>
      <c r="CF79" s="83"/>
      <c r="CG79" s="83"/>
      <c r="CH79" s="83"/>
      <c r="CI79" s="83"/>
      <c r="CJ79" s="83"/>
      <c r="CK79" s="83"/>
      <c r="CL79" s="83"/>
      <c r="CM79" s="83"/>
      <c r="CN79" s="83"/>
      <c r="CO79" s="83"/>
      <c r="CP79" s="83"/>
      <c r="CQ79" s="83"/>
      <c r="CR79" s="83"/>
      <c r="CS79" s="83"/>
      <c r="CT79" s="83"/>
    </row>
    <row r="80" spans="1:102" x14ac:dyDescent="0.2">
      <c r="A80" s="83"/>
      <c r="B80" s="283">
        <v>10.1</v>
      </c>
      <c r="C80" s="284">
        <v>18.2</v>
      </c>
      <c r="D80" s="98">
        <f t="shared" si="6"/>
        <v>4.8666800000000006</v>
      </c>
      <c r="E80" s="289">
        <v>4.8666800000000006</v>
      </c>
      <c r="F80" s="263"/>
      <c r="G80" s="263"/>
      <c r="H80" s="263"/>
      <c r="I80" s="146"/>
      <c r="J80" s="259"/>
      <c r="K80" s="256"/>
      <c r="L80" s="256"/>
      <c r="M80" s="256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>
        <v>9</v>
      </c>
      <c r="BA80" s="83">
        <v>9</v>
      </c>
      <c r="BE80" s="83">
        <v>9</v>
      </c>
      <c r="BG80" s="83">
        <v>9</v>
      </c>
      <c r="BI80" s="83">
        <v>9</v>
      </c>
      <c r="BK80" s="83">
        <v>9</v>
      </c>
      <c r="BM80" s="83">
        <v>9</v>
      </c>
      <c r="BO80" s="83">
        <v>9</v>
      </c>
      <c r="BQ80" s="83"/>
      <c r="BR80" s="83"/>
      <c r="BS80" s="83"/>
      <c r="BT80" s="83"/>
      <c r="BU80" s="83"/>
      <c r="BV80" s="83"/>
      <c r="BW80" s="83"/>
      <c r="BX80" s="83"/>
      <c r="BY80" s="83"/>
      <c r="BZ80" s="83"/>
      <c r="CA80" s="83"/>
      <c r="CB80" s="83"/>
      <c r="CC80" s="83"/>
      <c r="CD80" s="83"/>
      <c r="CE80" s="83"/>
      <c r="CF80" s="83"/>
      <c r="CG80" s="83"/>
      <c r="CH80" s="83"/>
      <c r="CI80" s="83"/>
      <c r="CJ80" s="83"/>
      <c r="CK80" s="83"/>
      <c r="CL80" s="83"/>
      <c r="CM80" s="83"/>
      <c r="CN80" s="83"/>
      <c r="CO80" s="83"/>
      <c r="CP80" s="83"/>
      <c r="CQ80" s="83"/>
      <c r="CR80" s="83"/>
      <c r="CS80" s="83"/>
      <c r="CT80" s="83"/>
    </row>
    <row r="81" spans="1:98" x14ac:dyDescent="0.2">
      <c r="A81" s="83"/>
      <c r="B81" s="283">
        <v>12.1</v>
      </c>
      <c r="C81" s="284">
        <v>12.6</v>
      </c>
      <c r="D81" s="98">
        <f t="shared" si="6"/>
        <v>3.3692400000000005</v>
      </c>
      <c r="E81" s="289">
        <v>3.3692400000000005</v>
      </c>
      <c r="F81" s="263"/>
      <c r="G81" s="263"/>
      <c r="H81" s="263"/>
      <c r="I81" s="146"/>
      <c r="J81" s="259"/>
      <c r="K81" s="256"/>
      <c r="L81" s="256"/>
      <c r="M81" s="256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>
        <v>9.4499999999999993</v>
      </c>
      <c r="BA81" s="83">
        <v>9.4499999999999993</v>
      </c>
      <c r="BE81" s="83">
        <v>9.4499999999999993</v>
      </c>
      <c r="BG81" s="83">
        <v>9.4499999999999993</v>
      </c>
      <c r="BI81" s="83">
        <v>9.4499999999999993</v>
      </c>
      <c r="BK81" s="83">
        <v>9.4499999999999993</v>
      </c>
      <c r="BM81" s="83">
        <v>9.4499999999999993</v>
      </c>
      <c r="BO81" s="83">
        <v>9.4499999999999993</v>
      </c>
      <c r="BQ81" s="83"/>
      <c r="BR81" s="83"/>
      <c r="BS81" s="83"/>
      <c r="BT81" s="83"/>
      <c r="BU81" s="83"/>
      <c r="BV81" s="83"/>
      <c r="BW81" s="83"/>
      <c r="BX81" s="83"/>
      <c r="BY81" s="83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M81" s="83"/>
      <c r="CN81" s="83"/>
      <c r="CO81" s="83"/>
      <c r="CP81" s="83"/>
      <c r="CQ81" s="83"/>
      <c r="CR81" s="83"/>
      <c r="CS81" s="83"/>
      <c r="CT81" s="83"/>
    </row>
    <row r="82" spans="1:98" x14ac:dyDescent="0.2">
      <c r="A82" s="83"/>
      <c r="B82" s="283">
        <v>17.899999999999999</v>
      </c>
      <c r="C82" s="284">
        <v>3.52</v>
      </c>
      <c r="D82" s="98">
        <f t="shared" si="6"/>
        <v>0.94124800000000008</v>
      </c>
      <c r="E82" s="289">
        <v>0.94124800000000008</v>
      </c>
      <c r="F82" s="263"/>
      <c r="G82" s="263"/>
      <c r="H82" s="263"/>
      <c r="I82" s="146"/>
      <c r="J82" s="259"/>
      <c r="K82" s="256"/>
      <c r="L82" s="256"/>
      <c r="M82" s="256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>
        <v>10.5</v>
      </c>
      <c r="BA82" s="83">
        <v>10.5</v>
      </c>
      <c r="BE82" s="83">
        <v>10.5</v>
      </c>
      <c r="BG82" s="83">
        <v>10.5</v>
      </c>
      <c r="BI82" s="83">
        <v>10.5</v>
      </c>
      <c r="BK82" s="83">
        <v>10.5</v>
      </c>
      <c r="BM82" s="83">
        <v>10.5</v>
      </c>
      <c r="BO82" s="83">
        <v>10.5</v>
      </c>
      <c r="BQ82" s="83"/>
      <c r="BR82" s="83"/>
      <c r="BS82" s="83"/>
      <c r="BT82" s="83"/>
      <c r="BU82" s="83"/>
      <c r="BV82" s="83"/>
      <c r="BW82" s="83"/>
      <c r="BX82" s="83"/>
      <c r="BY82" s="83"/>
      <c r="BZ82" s="83"/>
      <c r="CA82" s="83"/>
      <c r="CB82" s="83"/>
      <c r="CC82" s="83"/>
      <c r="CD82" s="83"/>
      <c r="CE82" s="83"/>
      <c r="CF82" s="83"/>
      <c r="CG82" s="83"/>
      <c r="CH82" s="83"/>
      <c r="CI82" s="83"/>
      <c r="CJ82" s="83"/>
      <c r="CK82" s="83"/>
      <c r="CL82" s="83"/>
      <c r="CM82" s="83"/>
      <c r="CN82" s="83"/>
      <c r="CO82" s="83"/>
      <c r="CP82" s="83"/>
      <c r="CQ82" s="83"/>
      <c r="CR82" s="83"/>
      <c r="CS82" s="83"/>
      <c r="CT82" s="83"/>
    </row>
    <row r="83" spans="1:98" x14ac:dyDescent="0.2">
      <c r="B83" s="285">
        <v>24.1</v>
      </c>
      <c r="C83" s="286">
        <v>0</v>
      </c>
      <c r="D83" s="98">
        <f t="shared" si="6"/>
        <v>0</v>
      </c>
      <c r="E83" s="290">
        <v>0</v>
      </c>
      <c r="F83" s="265"/>
      <c r="G83" s="265"/>
      <c r="H83" s="265"/>
      <c r="I83" s="266"/>
      <c r="J83" s="267"/>
      <c r="K83" s="256"/>
      <c r="L83" s="255"/>
      <c r="M83" s="255"/>
      <c r="O83" s="118"/>
      <c r="AZ83" s="83">
        <v>11.15</v>
      </c>
      <c r="BA83" s="83">
        <v>11.15</v>
      </c>
      <c r="BE83" s="83">
        <v>11.15</v>
      </c>
      <c r="BG83" s="83">
        <v>11.15</v>
      </c>
      <c r="BI83" s="83">
        <v>11.15</v>
      </c>
      <c r="BK83" s="83">
        <v>11.15</v>
      </c>
      <c r="BM83" s="83">
        <v>11.15</v>
      </c>
      <c r="BO83" s="83">
        <v>11.15</v>
      </c>
    </row>
    <row r="84" spans="1:98" x14ac:dyDescent="0.2">
      <c r="B84" s="283">
        <v>32.1</v>
      </c>
      <c r="C84" s="284">
        <v>0</v>
      </c>
      <c r="D84" s="98">
        <f t="shared" si="6"/>
        <v>0</v>
      </c>
      <c r="E84" s="289">
        <v>0</v>
      </c>
      <c r="F84" s="263"/>
      <c r="G84" s="263"/>
      <c r="H84" s="263"/>
      <c r="I84" s="146"/>
      <c r="J84" s="259"/>
      <c r="K84" s="256"/>
      <c r="L84" s="255"/>
      <c r="M84" s="255"/>
      <c r="O84" s="118"/>
      <c r="AZ84" s="83">
        <v>12</v>
      </c>
      <c r="BA84" s="83">
        <v>12</v>
      </c>
      <c r="BE84" s="83">
        <v>12</v>
      </c>
      <c r="BG84" s="83">
        <v>12</v>
      </c>
      <c r="BI84" s="83">
        <v>12</v>
      </c>
      <c r="BK84" s="83">
        <v>12</v>
      </c>
      <c r="BM84" s="83">
        <v>12</v>
      </c>
      <c r="BO84" s="83">
        <v>12</v>
      </c>
    </row>
    <row r="85" spans="1:98" x14ac:dyDescent="0.2">
      <c r="B85" s="283">
        <v>6.8500000000000005E-2</v>
      </c>
      <c r="C85" s="284">
        <v>2.11</v>
      </c>
      <c r="D85" s="98">
        <f t="shared" si="6"/>
        <v>0.56421399999999999</v>
      </c>
      <c r="E85" s="289">
        <v>0.56421399999999999</v>
      </c>
      <c r="F85" s="263"/>
      <c r="G85" s="263"/>
      <c r="H85" s="263"/>
      <c r="I85" s="146"/>
      <c r="J85" s="259"/>
      <c r="K85" s="256"/>
      <c r="L85" s="255"/>
      <c r="M85" s="255"/>
      <c r="O85" s="118"/>
      <c r="R85" s="83"/>
      <c r="S85" s="83"/>
      <c r="T85" s="83"/>
      <c r="BA85" s="154"/>
      <c r="BB85" s="154"/>
      <c r="BD85" s="138"/>
    </row>
    <row r="86" spans="1:98" x14ac:dyDescent="0.2">
      <c r="B86" s="283">
        <v>0.95899999999999996</v>
      </c>
      <c r="C86" s="284">
        <v>359</v>
      </c>
      <c r="D86" s="98">
        <f t="shared" si="6"/>
        <v>95.996600000000015</v>
      </c>
      <c r="E86" s="289">
        <v>95.996600000000015</v>
      </c>
      <c r="F86" s="263"/>
      <c r="G86" s="263"/>
      <c r="H86" s="263"/>
      <c r="I86" s="146"/>
      <c r="J86" s="259"/>
      <c r="K86" s="256"/>
      <c r="L86" s="256"/>
      <c r="M86" s="256"/>
      <c r="O86" s="118"/>
      <c r="Q86" s="83"/>
      <c r="R86" s="137"/>
      <c r="S86" s="137"/>
      <c r="T86" s="83"/>
      <c r="V86" s="138"/>
      <c r="BA86" s="154"/>
      <c r="BB86" s="154"/>
      <c r="BD86" s="138"/>
      <c r="CO86" s="83"/>
      <c r="CP86" s="83"/>
      <c r="CQ86" s="83"/>
    </row>
    <row r="87" spans="1:98" x14ac:dyDescent="0.2">
      <c r="B87" s="283">
        <v>2.02</v>
      </c>
      <c r="C87" s="284">
        <v>395</v>
      </c>
      <c r="D87" s="98">
        <f t="shared" si="6"/>
        <v>105.623</v>
      </c>
      <c r="E87" s="289">
        <v>105.623</v>
      </c>
      <c r="F87" s="263"/>
      <c r="G87" s="263"/>
      <c r="H87" s="263"/>
      <c r="I87" s="146"/>
      <c r="J87" s="259"/>
      <c r="K87" s="256"/>
      <c r="L87" s="268"/>
      <c r="M87" s="256"/>
      <c r="O87" s="118"/>
      <c r="Q87" s="83"/>
      <c r="R87" s="137"/>
      <c r="S87" s="137"/>
      <c r="T87" s="83"/>
      <c r="V87" s="138"/>
      <c r="AQ87" s="138"/>
      <c r="BA87" s="154"/>
      <c r="BB87" s="154"/>
      <c r="BD87" s="138"/>
      <c r="BQ87" s="138"/>
      <c r="CB87" s="132"/>
      <c r="CM87" s="132"/>
      <c r="CN87" s="83"/>
      <c r="CO87" s="137"/>
      <c r="CP87" s="137"/>
      <c r="CQ87" s="83"/>
    </row>
    <row r="88" spans="1:98" x14ac:dyDescent="0.2">
      <c r="B88" s="283">
        <v>3.08</v>
      </c>
      <c r="C88" s="284">
        <v>320</v>
      </c>
      <c r="D88" s="98">
        <f t="shared" si="6"/>
        <v>85.568000000000012</v>
      </c>
      <c r="E88" s="289">
        <v>85.568000000000012</v>
      </c>
      <c r="F88" s="263"/>
      <c r="G88" s="263"/>
      <c r="H88" s="263"/>
      <c r="I88" s="146"/>
      <c r="J88" s="259"/>
      <c r="K88" s="256"/>
      <c r="L88" s="268"/>
      <c r="M88" s="269"/>
      <c r="O88" s="118"/>
      <c r="Q88" s="83"/>
      <c r="R88" s="137"/>
      <c r="S88" s="137"/>
      <c r="T88" s="138"/>
      <c r="V88" s="138"/>
      <c r="AQ88" s="138"/>
      <c r="BA88" s="154"/>
      <c r="BB88" s="154"/>
      <c r="BD88" s="138"/>
      <c r="BQ88" s="138"/>
      <c r="CB88" s="132"/>
      <c r="CM88" s="132"/>
      <c r="CN88" s="83"/>
      <c r="CO88" s="137"/>
      <c r="CP88" s="137"/>
      <c r="CQ88" s="83"/>
    </row>
    <row r="89" spans="1:98" x14ac:dyDescent="0.2">
      <c r="B89" s="283">
        <v>4.1500000000000004</v>
      </c>
      <c r="C89" s="284">
        <v>276</v>
      </c>
      <c r="D89" s="98">
        <f t="shared" si="6"/>
        <v>73.802400000000006</v>
      </c>
      <c r="E89" s="289">
        <v>73.802400000000006</v>
      </c>
      <c r="F89" s="263"/>
      <c r="G89" s="263"/>
      <c r="H89" s="263"/>
      <c r="I89" s="146"/>
      <c r="J89" s="259"/>
      <c r="K89" s="256"/>
      <c r="L89" s="268"/>
      <c r="M89" s="269"/>
      <c r="O89" s="118"/>
      <c r="Q89" s="83"/>
      <c r="R89" s="137"/>
      <c r="S89" s="137"/>
      <c r="T89" s="138"/>
      <c r="V89" s="138"/>
      <c r="AQ89" s="138"/>
      <c r="BA89" s="154"/>
      <c r="BB89" s="154"/>
      <c r="BD89" s="138"/>
      <c r="BQ89" s="138"/>
      <c r="CB89" s="132"/>
      <c r="CM89" s="132"/>
      <c r="CN89" s="83"/>
      <c r="CO89" s="137"/>
      <c r="CP89" s="137"/>
      <c r="CQ89" s="83"/>
    </row>
    <row r="90" spans="1:98" x14ac:dyDescent="0.2">
      <c r="B90" s="283">
        <v>5.96</v>
      </c>
      <c r="C90" s="284">
        <v>198</v>
      </c>
      <c r="D90" s="98">
        <f t="shared" si="6"/>
        <v>52.945200000000007</v>
      </c>
      <c r="E90" s="289">
        <v>52.945200000000007</v>
      </c>
      <c r="F90" s="263"/>
      <c r="G90" s="263"/>
      <c r="H90" s="263"/>
      <c r="I90" s="146"/>
      <c r="J90" s="259"/>
      <c r="K90" s="256"/>
      <c r="L90" s="268"/>
      <c r="M90" s="269"/>
      <c r="O90" s="65"/>
      <c r="Q90" s="83"/>
      <c r="R90" s="137"/>
      <c r="S90" s="137"/>
      <c r="T90" s="138"/>
      <c r="V90" s="138"/>
      <c r="AQ90" s="138"/>
      <c r="BA90" s="154"/>
      <c r="BB90" s="154"/>
      <c r="BD90" s="138"/>
      <c r="BQ90" s="138"/>
      <c r="CB90" s="132"/>
      <c r="CM90" s="132"/>
      <c r="CN90" s="83"/>
      <c r="CO90" s="137"/>
      <c r="CP90" s="137"/>
      <c r="CQ90" s="83"/>
    </row>
    <row r="91" spans="1:98" x14ac:dyDescent="0.2">
      <c r="B91" s="283">
        <v>7.06</v>
      </c>
      <c r="C91" s="284">
        <v>190</v>
      </c>
      <c r="D91" s="98">
        <f t="shared" si="6"/>
        <v>50.806000000000004</v>
      </c>
      <c r="E91" s="289">
        <v>50.806000000000004</v>
      </c>
      <c r="F91" s="263"/>
      <c r="G91" s="263"/>
      <c r="H91" s="263"/>
      <c r="I91" s="146"/>
      <c r="J91" s="259"/>
      <c r="K91" s="256"/>
      <c r="L91" s="268"/>
      <c r="M91" s="269"/>
      <c r="O91" s="65"/>
      <c r="Q91" s="83"/>
      <c r="R91" s="137"/>
      <c r="S91" s="137"/>
      <c r="T91" s="138"/>
      <c r="V91" s="138"/>
      <c r="AQ91" s="138"/>
      <c r="BA91" s="154"/>
      <c r="BB91" s="154"/>
      <c r="BD91" s="138"/>
      <c r="BQ91" s="138"/>
      <c r="CB91" s="132"/>
      <c r="CM91" s="132"/>
      <c r="CN91" s="83"/>
      <c r="CO91" s="137"/>
      <c r="CP91" s="137"/>
      <c r="CQ91" s="83"/>
    </row>
    <row r="92" spans="1:98" x14ac:dyDescent="0.2">
      <c r="B92" s="283">
        <v>8.26</v>
      </c>
      <c r="C92" s="284">
        <v>139</v>
      </c>
      <c r="D92" s="98">
        <f t="shared" si="6"/>
        <v>37.168600000000005</v>
      </c>
      <c r="E92" s="289">
        <v>37.168600000000005</v>
      </c>
      <c r="F92" s="263"/>
      <c r="G92" s="263"/>
      <c r="H92" s="263"/>
      <c r="I92" s="146"/>
      <c r="J92" s="259"/>
      <c r="K92" s="256"/>
      <c r="L92" s="268"/>
      <c r="M92" s="269"/>
      <c r="O92" s="65"/>
      <c r="Q92" s="83"/>
      <c r="R92" s="137"/>
      <c r="S92" s="137"/>
      <c r="T92" s="138"/>
      <c r="V92" s="138"/>
      <c r="AQ92" s="138"/>
      <c r="BA92" s="154"/>
      <c r="BB92" s="154"/>
      <c r="BD92" s="138"/>
      <c r="BQ92" s="138"/>
      <c r="CB92" s="132"/>
      <c r="CM92" s="132"/>
      <c r="CN92" s="83"/>
      <c r="CO92" s="137"/>
      <c r="CP92" s="137"/>
      <c r="CQ92" s="83"/>
    </row>
    <row r="93" spans="1:98" x14ac:dyDescent="0.2">
      <c r="B93" s="283">
        <v>10.3</v>
      </c>
      <c r="C93" s="284">
        <v>93</v>
      </c>
      <c r="D93" s="98">
        <f t="shared" si="6"/>
        <v>24.868200000000002</v>
      </c>
      <c r="E93" s="289">
        <v>24.868200000000002</v>
      </c>
      <c r="F93" s="263"/>
      <c r="G93" s="263"/>
      <c r="H93" s="263"/>
      <c r="I93" s="146"/>
      <c r="J93" s="259"/>
      <c r="K93" s="256"/>
      <c r="L93" s="268"/>
      <c r="M93" s="269"/>
      <c r="O93" s="65"/>
      <c r="Q93" s="83"/>
      <c r="R93" s="137"/>
      <c r="S93" s="137"/>
      <c r="T93" s="138"/>
      <c r="V93" s="138"/>
      <c r="AQ93" s="138"/>
      <c r="BA93" s="154"/>
      <c r="BB93" s="154"/>
      <c r="BD93" s="138"/>
      <c r="BQ93" s="138"/>
      <c r="CB93" s="132"/>
      <c r="CM93" s="132"/>
      <c r="CN93" s="83"/>
      <c r="CO93" s="137"/>
      <c r="CP93" s="137"/>
      <c r="CQ93" s="83"/>
    </row>
    <row r="94" spans="1:98" x14ac:dyDescent="0.2">
      <c r="B94" s="283">
        <v>12.2</v>
      </c>
      <c r="C94" s="284">
        <v>62.1</v>
      </c>
      <c r="D94" s="98">
        <f t="shared" si="6"/>
        <v>16.605540000000001</v>
      </c>
      <c r="E94" s="289">
        <v>16.605540000000001</v>
      </c>
      <c r="F94" s="263"/>
      <c r="G94" s="263"/>
      <c r="H94" s="263"/>
      <c r="I94" s="146"/>
      <c r="J94" s="259"/>
      <c r="K94" s="256"/>
      <c r="L94" s="268"/>
      <c r="M94" s="269"/>
      <c r="N94" s="65"/>
      <c r="O94" s="65"/>
      <c r="Q94" s="83"/>
      <c r="R94" s="137"/>
      <c r="S94" s="137"/>
      <c r="T94" s="138"/>
      <c r="V94" s="138"/>
      <c r="AQ94" s="138"/>
      <c r="BA94" s="154"/>
      <c r="BB94" s="154"/>
      <c r="BD94" s="138"/>
      <c r="BQ94" s="138"/>
      <c r="CB94" s="132"/>
      <c r="CM94" s="132"/>
      <c r="CN94" s="83"/>
      <c r="CO94" s="137"/>
      <c r="CP94" s="137"/>
      <c r="CQ94" s="83"/>
    </row>
    <row r="95" spans="1:98" x14ac:dyDescent="0.2">
      <c r="B95" s="283">
        <v>18</v>
      </c>
      <c r="C95" s="284">
        <v>33.200000000000003</v>
      </c>
      <c r="D95" s="98">
        <f t="shared" si="6"/>
        <v>8.8776800000000016</v>
      </c>
      <c r="E95" s="289">
        <v>8.8776800000000016</v>
      </c>
      <c r="F95" s="263"/>
      <c r="G95" s="263"/>
      <c r="H95" s="263"/>
      <c r="I95" s="146"/>
      <c r="J95" s="259"/>
      <c r="K95" s="256"/>
      <c r="L95" s="268"/>
      <c r="M95" s="269"/>
      <c r="N95" s="65"/>
      <c r="O95" s="65"/>
      <c r="Q95" s="83"/>
      <c r="R95" s="137"/>
      <c r="S95" s="137"/>
      <c r="T95" s="138"/>
      <c r="V95" s="138"/>
      <c r="AQ95" s="138"/>
      <c r="BA95" s="154"/>
      <c r="BB95" s="154"/>
      <c r="BD95" s="138"/>
      <c r="BQ95" s="138"/>
      <c r="CB95" s="132"/>
      <c r="CM95" s="132"/>
      <c r="CN95" s="83"/>
      <c r="CO95" s="137"/>
      <c r="CP95" s="137"/>
      <c r="CQ95" s="83"/>
    </row>
    <row r="96" spans="1:98" x14ac:dyDescent="0.2">
      <c r="B96" s="283">
        <v>24.1</v>
      </c>
      <c r="C96" s="284">
        <v>9.85</v>
      </c>
      <c r="D96" s="98">
        <f t="shared" si="6"/>
        <v>2.6338900000000001</v>
      </c>
      <c r="E96" s="289">
        <v>2.6338900000000001</v>
      </c>
      <c r="F96" s="263"/>
      <c r="G96" s="263"/>
      <c r="H96" s="263"/>
      <c r="I96" s="146"/>
      <c r="J96" s="259"/>
      <c r="K96" s="256"/>
      <c r="L96" s="268"/>
      <c r="M96" s="269"/>
      <c r="Q96" s="83"/>
      <c r="R96" s="137"/>
      <c r="S96" s="137"/>
      <c r="T96" s="138"/>
      <c r="V96" s="138"/>
      <c r="AQ96" s="138"/>
      <c r="BA96" s="154"/>
      <c r="BB96" s="154"/>
      <c r="BD96" s="138"/>
      <c r="BQ96" s="138"/>
      <c r="CB96" s="132"/>
      <c r="CM96" s="132"/>
      <c r="CN96" s="83"/>
      <c r="CO96" s="137"/>
      <c r="CP96" s="137"/>
      <c r="CQ96" s="83"/>
    </row>
    <row r="97" spans="2:95" x14ac:dyDescent="0.2">
      <c r="B97" s="283">
        <v>32.1</v>
      </c>
      <c r="C97" s="284">
        <v>1.8</v>
      </c>
      <c r="D97" s="98">
        <f t="shared" si="6"/>
        <v>0.48132000000000008</v>
      </c>
      <c r="E97" s="289">
        <v>0.48132000000000008</v>
      </c>
      <c r="F97" s="263"/>
      <c r="G97" s="263"/>
      <c r="H97" s="263"/>
      <c r="I97" s="146"/>
      <c r="J97" s="259"/>
      <c r="K97" s="256"/>
      <c r="L97" s="268"/>
      <c r="M97" s="269"/>
      <c r="Q97" s="83"/>
      <c r="R97" s="137"/>
      <c r="S97" s="137"/>
      <c r="T97" s="138"/>
      <c r="V97" s="138"/>
      <c r="AQ97" s="138"/>
      <c r="BA97" s="154"/>
      <c r="BB97" s="154"/>
      <c r="BD97" s="138"/>
      <c r="BQ97" s="138"/>
      <c r="CB97" s="132"/>
      <c r="CM97" s="132"/>
      <c r="CN97" s="83"/>
      <c r="CO97" s="137"/>
      <c r="CP97" s="137"/>
      <c r="CQ97" s="83"/>
    </row>
    <row r="98" spans="2:95" x14ac:dyDescent="0.2">
      <c r="B98" s="283">
        <v>0.17100000000000001</v>
      </c>
      <c r="C98" s="284">
        <v>5.41</v>
      </c>
      <c r="D98" s="98">
        <f t="shared" si="6"/>
        <v>1.4466340000000002</v>
      </c>
      <c r="E98" s="289">
        <v>1.4466340000000002</v>
      </c>
      <c r="F98" s="263"/>
      <c r="G98" s="263"/>
      <c r="H98" s="263"/>
      <c r="I98" s="146"/>
      <c r="J98" s="259"/>
      <c r="K98" s="256"/>
      <c r="L98" s="268"/>
      <c r="M98" s="269"/>
      <c r="Q98" s="83"/>
      <c r="R98" s="137"/>
      <c r="S98" s="137"/>
      <c r="T98" s="138"/>
      <c r="V98" s="138"/>
      <c r="AQ98" s="138"/>
      <c r="BA98" s="154"/>
      <c r="BB98" s="154"/>
      <c r="BD98" s="138"/>
      <c r="BQ98" s="138"/>
      <c r="CB98" s="132"/>
      <c r="CM98" s="132"/>
      <c r="CN98" s="83"/>
      <c r="CO98" s="137"/>
      <c r="CP98" s="137"/>
      <c r="CQ98" s="83"/>
    </row>
    <row r="99" spans="2:95" x14ac:dyDescent="0.2">
      <c r="B99" s="283">
        <v>0.44500000000000001</v>
      </c>
      <c r="C99" s="284">
        <v>515</v>
      </c>
      <c r="D99" s="98">
        <f t="shared" si="6"/>
        <v>137.71100000000001</v>
      </c>
      <c r="E99" s="289">
        <v>137.71100000000001</v>
      </c>
      <c r="F99" s="263"/>
      <c r="G99" s="263"/>
      <c r="H99" s="263"/>
      <c r="I99" s="146"/>
      <c r="J99" s="259"/>
      <c r="K99" s="256"/>
      <c r="L99" s="268"/>
      <c r="M99" s="269"/>
      <c r="Q99" s="83"/>
      <c r="R99" s="137"/>
      <c r="S99" s="137"/>
      <c r="T99" s="138"/>
      <c r="V99" s="138"/>
      <c r="AQ99" s="138"/>
      <c r="BA99" s="154"/>
      <c r="BB99" s="154"/>
      <c r="BD99" s="138"/>
      <c r="BQ99" s="138"/>
      <c r="CB99" s="132"/>
      <c r="CM99" s="132"/>
      <c r="CN99" s="83"/>
      <c r="CO99" s="137"/>
      <c r="CP99" s="137"/>
      <c r="CQ99" s="83"/>
    </row>
    <row r="100" spans="2:95" x14ac:dyDescent="0.2">
      <c r="B100" s="283">
        <v>1.99</v>
      </c>
      <c r="C100" s="284">
        <v>679</v>
      </c>
      <c r="D100" s="98">
        <f t="shared" si="6"/>
        <v>181.56460000000001</v>
      </c>
      <c r="E100" s="289">
        <v>181.56460000000001</v>
      </c>
      <c r="F100" s="263"/>
      <c r="G100" s="263"/>
      <c r="H100" s="263"/>
      <c r="I100" s="146"/>
      <c r="J100" s="259"/>
      <c r="K100" s="256"/>
      <c r="L100" s="268"/>
      <c r="M100" s="269"/>
      <c r="Q100" s="83"/>
      <c r="R100" s="137"/>
      <c r="S100" s="137"/>
      <c r="T100" s="138"/>
      <c r="V100" s="138"/>
      <c r="AQ100" s="138"/>
      <c r="BA100" s="154"/>
      <c r="BB100" s="154"/>
      <c r="BD100" s="138"/>
      <c r="BQ100" s="138"/>
      <c r="CB100" s="132"/>
      <c r="CM100" s="132"/>
      <c r="CN100" s="83"/>
      <c r="CO100" s="137"/>
      <c r="CP100" s="137"/>
      <c r="CQ100" s="83"/>
    </row>
    <row r="101" spans="2:95" x14ac:dyDescent="0.2">
      <c r="B101" s="283">
        <v>2.98</v>
      </c>
      <c r="C101" s="284">
        <v>561</v>
      </c>
      <c r="D101" s="98">
        <f t="shared" si="6"/>
        <v>150.01140000000001</v>
      </c>
      <c r="E101" s="289">
        <v>150.01140000000001</v>
      </c>
      <c r="F101" s="263"/>
      <c r="G101" s="263"/>
      <c r="H101" s="263"/>
      <c r="I101" s="146"/>
      <c r="J101" s="259"/>
      <c r="K101" s="256"/>
      <c r="L101" s="268"/>
      <c r="M101" s="269"/>
      <c r="Q101" s="83"/>
      <c r="R101" s="137"/>
      <c r="S101" s="137"/>
      <c r="T101" s="138"/>
      <c r="V101" s="138"/>
      <c r="AQ101" s="138"/>
      <c r="BA101" s="154"/>
      <c r="BB101" s="154"/>
      <c r="BD101" s="138"/>
      <c r="BQ101" s="138"/>
      <c r="CB101" s="132"/>
      <c r="CM101" s="132"/>
      <c r="CN101" s="83"/>
      <c r="CO101" s="137"/>
      <c r="CP101" s="137"/>
      <c r="CQ101" s="83"/>
    </row>
    <row r="102" spans="2:95" x14ac:dyDescent="0.2">
      <c r="B102" s="287">
        <v>4.1100000000000003</v>
      </c>
      <c r="C102" s="284">
        <v>507</v>
      </c>
      <c r="D102" s="98">
        <f t="shared" si="6"/>
        <v>135.57180000000002</v>
      </c>
      <c r="E102" s="289">
        <v>135.57180000000002</v>
      </c>
      <c r="F102" s="263"/>
      <c r="G102" s="263"/>
      <c r="H102" s="263"/>
      <c r="I102" s="146"/>
      <c r="J102" s="259"/>
      <c r="K102" s="268"/>
      <c r="L102" s="268"/>
      <c r="M102" s="269"/>
      <c r="Q102" s="83"/>
      <c r="R102" s="137"/>
      <c r="S102" s="137"/>
      <c r="T102" s="138"/>
      <c r="V102" s="138"/>
      <c r="AQ102" s="138"/>
      <c r="BD102" s="138"/>
      <c r="BQ102" s="138"/>
      <c r="CB102" s="132"/>
      <c r="CM102" s="132"/>
      <c r="CN102" s="83"/>
      <c r="CO102" s="137"/>
      <c r="CP102" s="137"/>
      <c r="CQ102" s="83"/>
    </row>
    <row r="103" spans="2:95" x14ac:dyDescent="0.2">
      <c r="B103" s="287">
        <v>5.14</v>
      </c>
      <c r="C103" s="284">
        <v>427</v>
      </c>
      <c r="D103" s="98">
        <f t="shared" si="6"/>
        <v>114.17980000000001</v>
      </c>
      <c r="E103" s="289">
        <v>114.17980000000001</v>
      </c>
      <c r="F103" s="263"/>
      <c r="G103" s="263"/>
      <c r="H103" s="263"/>
      <c r="I103" s="146"/>
      <c r="J103" s="259"/>
      <c r="K103" s="268"/>
      <c r="L103" s="268"/>
      <c r="M103" s="269"/>
      <c r="Q103" s="83"/>
      <c r="R103" s="137"/>
      <c r="S103" s="137"/>
      <c r="T103" s="138"/>
      <c r="V103" s="138"/>
      <c r="AQ103" s="138"/>
      <c r="BQ103" s="138"/>
      <c r="CB103" s="132"/>
      <c r="CM103" s="132"/>
      <c r="CN103" s="83"/>
      <c r="CO103" s="137"/>
      <c r="CP103" s="137"/>
      <c r="CQ103" s="83"/>
    </row>
    <row r="104" spans="2:95" x14ac:dyDescent="0.2">
      <c r="B104" s="287">
        <v>6.27</v>
      </c>
      <c r="C104" s="284">
        <v>370</v>
      </c>
      <c r="D104" s="98">
        <f t="shared" si="6"/>
        <v>98.938000000000017</v>
      </c>
      <c r="E104" s="289">
        <v>98.938000000000017</v>
      </c>
      <c r="F104" s="263"/>
      <c r="G104" s="263"/>
      <c r="H104" s="263"/>
      <c r="I104" s="146"/>
      <c r="J104" s="259"/>
      <c r="K104" s="268"/>
      <c r="L104" s="268"/>
      <c r="M104" s="269"/>
      <c r="Q104" s="83"/>
      <c r="R104" s="137"/>
      <c r="S104" s="137"/>
      <c r="T104" s="138"/>
      <c r="V104" s="138"/>
      <c r="AQ104" s="138"/>
      <c r="BQ104" s="138"/>
      <c r="CB104" s="132"/>
      <c r="CM104" s="132"/>
      <c r="CN104" s="83"/>
      <c r="CO104" s="137"/>
      <c r="CP104" s="137"/>
      <c r="CQ104" s="83"/>
    </row>
    <row r="105" spans="2:95" x14ac:dyDescent="0.2">
      <c r="B105" s="287">
        <v>7.67</v>
      </c>
      <c r="C105" s="284">
        <v>303</v>
      </c>
      <c r="D105" s="98">
        <f t="shared" si="6"/>
        <v>81.022200000000012</v>
      </c>
      <c r="E105" s="289">
        <v>81.022200000000012</v>
      </c>
      <c r="F105" s="263"/>
      <c r="G105" s="263"/>
      <c r="H105" s="263"/>
      <c r="I105" s="146"/>
      <c r="J105" s="259"/>
      <c r="K105" s="268"/>
      <c r="L105" s="268"/>
      <c r="M105" s="269"/>
      <c r="T105" s="137"/>
      <c r="AQ105" s="138"/>
      <c r="BQ105" s="138"/>
      <c r="CB105" s="132"/>
      <c r="CM105" s="132"/>
      <c r="CN105" s="83"/>
      <c r="CO105" s="137"/>
      <c r="CP105" s="137"/>
      <c r="CQ105" s="83"/>
    </row>
    <row r="106" spans="2:95" x14ac:dyDescent="0.2">
      <c r="B106" s="287">
        <v>8.1199999999999992</v>
      </c>
      <c r="C106" s="284">
        <v>267</v>
      </c>
      <c r="D106" s="98">
        <f t="shared" si="6"/>
        <v>71.395800000000008</v>
      </c>
      <c r="E106" s="289">
        <v>71.395800000000008</v>
      </c>
      <c r="F106" s="263"/>
      <c r="G106" s="263"/>
      <c r="H106" s="263"/>
      <c r="I106" s="146"/>
      <c r="J106" s="259"/>
      <c r="K106" s="255"/>
      <c r="L106" s="255"/>
      <c r="M106" s="268"/>
    </row>
    <row r="107" spans="2:95" x14ac:dyDescent="0.2">
      <c r="B107" s="287">
        <v>10.6</v>
      </c>
      <c r="C107" s="284">
        <v>191</v>
      </c>
      <c r="D107" s="98">
        <f t="shared" si="6"/>
        <v>51.073400000000007</v>
      </c>
      <c r="E107" s="289">
        <v>51.073400000000007</v>
      </c>
      <c r="F107" s="263"/>
      <c r="G107" s="263"/>
      <c r="H107" s="263"/>
      <c r="I107" s="146"/>
      <c r="J107" s="259"/>
      <c r="K107" s="255"/>
      <c r="L107" s="255"/>
      <c r="M107" s="255"/>
    </row>
    <row r="108" spans="2:95" x14ac:dyDescent="0.2">
      <c r="B108" s="287">
        <v>12.2</v>
      </c>
      <c r="C108" s="284">
        <v>152</v>
      </c>
      <c r="D108" s="98">
        <f t="shared" si="6"/>
        <v>40.644800000000004</v>
      </c>
      <c r="E108" s="289">
        <v>40.644800000000004</v>
      </c>
      <c r="F108" s="263"/>
      <c r="G108" s="263"/>
      <c r="H108" s="263"/>
      <c r="I108" s="146"/>
      <c r="J108" s="259"/>
      <c r="K108" s="255"/>
      <c r="L108" s="255"/>
      <c r="M108" s="255"/>
    </row>
    <row r="109" spans="2:95" x14ac:dyDescent="0.2">
      <c r="B109" s="287">
        <v>13.9</v>
      </c>
      <c r="C109" s="284">
        <v>110</v>
      </c>
      <c r="D109" s="98">
        <f t="shared" si="6"/>
        <v>29.414000000000001</v>
      </c>
      <c r="E109" s="289">
        <v>29.414000000000001</v>
      </c>
      <c r="F109" s="263"/>
      <c r="G109" s="263"/>
      <c r="H109" s="263"/>
      <c r="I109" s="146"/>
      <c r="J109" s="259"/>
      <c r="K109" s="255"/>
      <c r="L109" s="255"/>
      <c r="M109" s="255"/>
    </row>
    <row r="110" spans="2:95" x14ac:dyDescent="0.2">
      <c r="B110" s="287">
        <v>18.100000000000001</v>
      </c>
      <c r="C110" s="284">
        <v>82.7</v>
      </c>
      <c r="D110" s="98">
        <f t="shared" si="6"/>
        <v>22.113980000000002</v>
      </c>
      <c r="E110" s="289">
        <v>22.113980000000002</v>
      </c>
      <c r="F110" s="263"/>
      <c r="G110" s="263"/>
      <c r="H110" s="263"/>
      <c r="I110" s="146"/>
      <c r="J110" s="259"/>
      <c r="K110" s="255"/>
      <c r="L110" s="255"/>
      <c r="M110" s="255"/>
    </row>
    <row r="111" spans="2:95" x14ac:dyDescent="0.2">
      <c r="B111" s="287">
        <v>24.1</v>
      </c>
      <c r="C111" s="284">
        <v>39.6</v>
      </c>
      <c r="D111" s="98">
        <f t="shared" si="6"/>
        <v>10.589040000000001</v>
      </c>
      <c r="E111" s="289">
        <v>10.589040000000001</v>
      </c>
      <c r="F111" s="263"/>
      <c r="G111" s="263"/>
      <c r="H111" s="263"/>
      <c r="I111" s="146"/>
      <c r="J111" s="259"/>
      <c r="K111" s="255"/>
      <c r="L111" s="255"/>
      <c r="M111" s="255"/>
    </row>
    <row r="112" spans="2:95" x14ac:dyDescent="0.2">
      <c r="B112" s="287">
        <v>31.9</v>
      </c>
      <c r="C112" s="284">
        <v>16.100000000000001</v>
      </c>
      <c r="D112" s="98">
        <f t="shared" si="6"/>
        <v>4.3051400000000006</v>
      </c>
      <c r="E112" s="289">
        <v>4.3051400000000006</v>
      </c>
      <c r="F112" s="263"/>
      <c r="G112" s="263"/>
      <c r="H112" s="263"/>
      <c r="I112" s="146"/>
      <c r="J112" s="259"/>
      <c r="K112" s="255"/>
      <c r="L112" s="255"/>
      <c r="M112" s="255"/>
    </row>
    <row r="113" spans="2:13" x14ac:dyDescent="0.2">
      <c r="B113" s="142"/>
      <c r="C113" s="262"/>
      <c r="D113" s="264"/>
      <c r="E113" s="263"/>
      <c r="F113" s="263"/>
      <c r="G113" s="263"/>
      <c r="H113" s="263"/>
      <c r="I113" s="146"/>
      <c r="J113" s="259"/>
      <c r="K113" s="255"/>
      <c r="L113" s="255"/>
      <c r="M113" s="255"/>
    </row>
    <row r="114" spans="2:13" x14ac:dyDescent="0.2">
      <c r="B114" s="143"/>
      <c r="C114" s="270"/>
      <c r="D114" s="264"/>
      <c r="E114" s="271"/>
      <c r="F114" s="271"/>
      <c r="G114" s="271"/>
      <c r="H114" s="272"/>
      <c r="I114" s="271"/>
      <c r="J114" s="259"/>
      <c r="K114" s="255"/>
      <c r="L114" s="255"/>
      <c r="M114" s="255"/>
    </row>
    <row r="115" spans="2:13" x14ac:dyDescent="0.2">
      <c r="B115" s="144"/>
      <c r="C115" s="273"/>
      <c r="D115" s="273"/>
      <c r="E115" s="274"/>
      <c r="F115" s="274"/>
      <c r="G115" s="274"/>
      <c r="H115" s="274"/>
      <c r="I115" s="274"/>
      <c r="J115" s="259"/>
      <c r="K115" s="255"/>
      <c r="L115" s="255"/>
      <c r="M115" s="255"/>
    </row>
    <row r="116" spans="2:13" x14ac:dyDescent="0.2">
      <c r="B116" s="144"/>
      <c r="C116" s="273"/>
      <c r="D116" s="273"/>
      <c r="E116" s="275"/>
      <c r="F116" s="275"/>
      <c r="G116" s="275"/>
      <c r="H116" s="275"/>
      <c r="I116" s="275"/>
      <c r="J116" s="259"/>
      <c r="K116" s="255"/>
      <c r="L116" s="255"/>
      <c r="M116" s="255"/>
    </row>
    <row r="117" spans="2:13" x14ac:dyDescent="0.2">
      <c r="C117" s="255"/>
      <c r="D117" s="255"/>
      <c r="E117" s="276"/>
      <c r="F117" s="276"/>
      <c r="G117" s="276"/>
      <c r="H117" s="276"/>
      <c r="I117" s="276"/>
      <c r="J117" s="255"/>
      <c r="K117" s="255"/>
      <c r="L117" s="255"/>
      <c r="M117" s="255"/>
    </row>
    <row r="118" spans="2:13" x14ac:dyDescent="0.2">
      <c r="C118" s="255"/>
      <c r="D118" s="255"/>
      <c r="E118" s="276"/>
      <c r="F118" s="276"/>
      <c r="G118" s="276"/>
      <c r="H118" s="276"/>
      <c r="I118" s="276"/>
      <c r="J118" s="255"/>
      <c r="K118" s="255"/>
      <c r="L118" s="255"/>
      <c r="M118" s="255"/>
    </row>
    <row r="119" spans="2:13" x14ac:dyDescent="0.2"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</row>
    <row r="120" spans="2:13" x14ac:dyDescent="0.2"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</row>
    <row r="121" spans="2:13" x14ac:dyDescent="0.2"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</row>
    <row r="122" spans="2:13" x14ac:dyDescent="0.2">
      <c r="C122" s="255"/>
      <c r="D122" s="255"/>
      <c r="E122" s="276"/>
      <c r="F122" s="276"/>
      <c r="G122" s="276"/>
      <c r="H122" s="276"/>
      <c r="I122" s="276"/>
      <c r="J122" s="255"/>
      <c r="K122" s="255"/>
      <c r="L122" s="255"/>
      <c r="M122" s="255"/>
    </row>
    <row r="123" spans="2:13" x14ac:dyDescent="0.2">
      <c r="C123" s="255"/>
      <c r="D123" s="255"/>
      <c r="E123" s="276"/>
      <c r="F123" s="276"/>
      <c r="G123" s="276"/>
      <c r="H123" s="276"/>
      <c r="I123" s="276"/>
      <c r="J123" s="255"/>
      <c r="K123" s="255"/>
      <c r="L123" s="255"/>
      <c r="M123" s="255"/>
    </row>
    <row r="124" spans="2:13" x14ac:dyDescent="0.2">
      <c r="C124" s="255"/>
      <c r="D124" s="255"/>
      <c r="E124" s="276"/>
      <c r="F124" s="276"/>
      <c r="G124" s="276"/>
      <c r="H124" s="276"/>
      <c r="I124" s="276"/>
      <c r="J124" s="255"/>
      <c r="K124" s="255"/>
      <c r="L124" s="255"/>
      <c r="M124" s="255"/>
    </row>
    <row r="125" spans="2:13" x14ac:dyDescent="0.2">
      <c r="E125" s="145"/>
      <c r="F125" s="145"/>
      <c r="G125" s="145"/>
      <c r="H125" s="145"/>
      <c r="I125" s="145"/>
    </row>
    <row r="126" spans="2:13" x14ac:dyDescent="0.2">
      <c r="E126" s="145"/>
      <c r="F126" s="145"/>
      <c r="G126" s="145"/>
      <c r="H126" s="145"/>
      <c r="I126" s="145"/>
    </row>
    <row r="127" spans="2:13" x14ac:dyDescent="0.2">
      <c r="E127" s="145"/>
      <c r="F127" s="145"/>
      <c r="G127" s="145"/>
      <c r="H127" s="145"/>
      <c r="I127" s="145"/>
    </row>
    <row r="128" spans="2:13" x14ac:dyDescent="0.2">
      <c r="E128" s="145"/>
      <c r="F128" s="145"/>
      <c r="G128" s="145"/>
      <c r="H128" s="145"/>
      <c r="I128" s="145"/>
    </row>
    <row r="129" spans="5:9" x14ac:dyDescent="0.2">
      <c r="E129" s="145"/>
      <c r="F129" s="145"/>
      <c r="G129" s="145"/>
      <c r="H129" s="145"/>
      <c r="I129" s="145"/>
    </row>
    <row r="130" spans="5:9" x14ac:dyDescent="0.2">
      <c r="E130" s="145"/>
      <c r="F130" s="145"/>
      <c r="G130" s="145"/>
      <c r="H130" s="145"/>
      <c r="I130" s="145"/>
    </row>
    <row r="131" spans="5:9" x14ac:dyDescent="0.2">
      <c r="E131" s="145"/>
      <c r="F131" s="145"/>
      <c r="G131" s="145"/>
      <c r="H131" s="145"/>
      <c r="I131" s="145"/>
    </row>
    <row r="132" spans="5:9" x14ac:dyDescent="0.2">
      <c r="E132" s="145"/>
      <c r="F132" s="145"/>
      <c r="G132" s="145"/>
      <c r="H132" s="145"/>
      <c r="I132" s="145"/>
    </row>
    <row r="133" spans="5:9" x14ac:dyDescent="0.2">
      <c r="E133" s="145"/>
      <c r="F133" s="145"/>
      <c r="G133" s="145"/>
      <c r="H133" s="145"/>
      <c r="I133" s="145"/>
    </row>
    <row r="134" spans="5:9" x14ac:dyDescent="0.2">
      <c r="E134" s="145"/>
      <c r="F134" s="145"/>
      <c r="G134" s="145"/>
      <c r="H134" s="145"/>
      <c r="I134" s="145"/>
    </row>
    <row r="135" spans="5:9" x14ac:dyDescent="0.2">
      <c r="E135" s="145"/>
      <c r="F135" s="145"/>
      <c r="G135" s="145"/>
      <c r="H135" s="145"/>
      <c r="I135" s="145"/>
    </row>
    <row r="136" spans="5:9" x14ac:dyDescent="0.2">
      <c r="E136" s="145"/>
      <c r="F136" s="145"/>
      <c r="G136" s="145"/>
      <c r="H136" s="145"/>
      <c r="I136" s="145"/>
    </row>
    <row r="137" spans="5:9" x14ac:dyDescent="0.2">
      <c r="E137" s="145"/>
      <c r="F137" s="145"/>
      <c r="G137" s="145"/>
      <c r="H137" s="145"/>
      <c r="I137" s="145"/>
    </row>
    <row r="138" spans="5:9" x14ac:dyDescent="0.2">
      <c r="E138" s="145"/>
      <c r="F138" s="145"/>
      <c r="G138" s="145"/>
      <c r="H138" s="145"/>
      <c r="I138" s="145"/>
    </row>
    <row r="139" spans="5:9" x14ac:dyDescent="0.2">
      <c r="E139" s="145"/>
      <c r="F139" s="145"/>
      <c r="G139" s="145"/>
      <c r="H139" s="145"/>
      <c r="I139" s="145"/>
    </row>
    <row r="140" spans="5:9" x14ac:dyDescent="0.2">
      <c r="E140" s="145"/>
      <c r="F140" s="145"/>
      <c r="G140" s="145"/>
      <c r="H140" s="145"/>
      <c r="I140" s="145"/>
    </row>
    <row r="141" spans="5:9" x14ac:dyDescent="0.2">
      <c r="E141" s="145"/>
      <c r="F141" s="145"/>
      <c r="G141" s="145"/>
      <c r="H141" s="145"/>
      <c r="I141" s="145"/>
    </row>
    <row r="142" spans="5:9" x14ac:dyDescent="0.2">
      <c r="E142" s="145"/>
      <c r="F142" s="145"/>
      <c r="G142" s="145"/>
      <c r="H142" s="145"/>
      <c r="I142" s="145"/>
    </row>
    <row r="143" spans="5:9" x14ac:dyDescent="0.2">
      <c r="E143" s="145"/>
      <c r="F143" s="145"/>
      <c r="G143" s="145"/>
      <c r="H143" s="145"/>
      <c r="I143" s="145"/>
    </row>
    <row r="144" spans="5:9" x14ac:dyDescent="0.2">
      <c r="E144" s="145"/>
      <c r="F144" s="145"/>
      <c r="G144" s="145"/>
      <c r="H144" s="145"/>
      <c r="I144" s="145"/>
    </row>
    <row r="145" spans="5:50" x14ac:dyDescent="0.2">
      <c r="E145" s="145"/>
      <c r="F145" s="145"/>
      <c r="G145" s="145"/>
      <c r="H145" s="145"/>
      <c r="I145" s="145"/>
    </row>
    <row r="146" spans="5:50" x14ac:dyDescent="0.2">
      <c r="E146" s="145"/>
      <c r="F146" s="145"/>
      <c r="G146" s="145"/>
      <c r="H146" s="145"/>
      <c r="I146" s="145"/>
    </row>
    <row r="147" spans="5:50" x14ac:dyDescent="0.2">
      <c r="E147" s="145"/>
      <c r="F147" s="145"/>
      <c r="G147" s="145"/>
      <c r="H147" s="145"/>
      <c r="I147" s="145"/>
    </row>
    <row r="148" spans="5:50" x14ac:dyDescent="0.2">
      <c r="E148" s="145"/>
      <c r="F148" s="145"/>
      <c r="G148" s="145"/>
      <c r="H148" s="145"/>
      <c r="I148" s="145"/>
    </row>
    <row r="149" spans="5:50" x14ac:dyDescent="0.2">
      <c r="E149" s="145"/>
      <c r="F149" s="145"/>
      <c r="G149" s="145"/>
      <c r="H149" s="145"/>
      <c r="I149" s="145"/>
    </row>
    <row r="150" spans="5:50" x14ac:dyDescent="0.2">
      <c r="E150" s="145"/>
      <c r="F150" s="145"/>
      <c r="G150" s="145"/>
      <c r="H150" s="145"/>
      <c r="I150" s="145"/>
    </row>
    <row r="151" spans="5:50" x14ac:dyDescent="0.2">
      <c r="E151" s="145"/>
      <c r="F151" s="145"/>
      <c r="G151" s="145"/>
      <c r="H151" s="145"/>
      <c r="I151" s="145"/>
    </row>
    <row r="152" spans="5:50" x14ac:dyDescent="0.2">
      <c r="E152" s="145"/>
      <c r="F152" s="145"/>
      <c r="G152" s="145"/>
      <c r="H152" s="145"/>
      <c r="I152" s="145"/>
    </row>
    <row r="153" spans="5:50" x14ac:dyDescent="0.2">
      <c r="E153" s="145"/>
      <c r="F153" s="145"/>
      <c r="G153" s="145"/>
      <c r="H153" s="145"/>
      <c r="I153" s="145"/>
    </row>
    <row r="154" spans="5:50" x14ac:dyDescent="0.2">
      <c r="E154" s="145"/>
      <c r="F154" s="145"/>
      <c r="G154" s="145"/>
      <c r="H154" s="145"/>
      <c r="I154" s="145"/>
    </row>
    <row r="155" spans="5:50" x14ac:dyDescent="0.2">
      <c r="E155" s="145"/>
      <c r="F155" s="145"/>
      <c r="G155" s="145"/>
      <c r="H155" s="145"/>
      <c r="I155" s="145"/>
    </row>
    <row r="158" spans="5:50" x14ac:dyDescent="0.2">
      <c r="E158" s="152"/>
      <c r="F158" s="152"/>
      <c r="G158" s="153"/>
      <c r="H158" s="154"/>
      <c r="I158" s="152"/>
      <c r="J158" s="152"/>
      <c r="K158" s="153"/>
      <c r="L158" s="154"/>
      <c r="N158" s="155"/>
      <c r="O158" s="155"/>
    </row>
    <row r="159" spans="5:50" x14ac:dyDescent="0.2">
      <c r="E159" s="152"/>
      <c r="F159" s="152"/>
      <c r="G159" s="153"/>
      <c r="H159" s="154"/>
      <c r="I159" s="152"/>
      <c r="J159" s="152"/>
      <c r="K159" s="153"/>
      <c r="L159" s="154"/>
      <c r="N159" s="155"/>
      <c r="O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5"/>
      <c r="AU159" s="155"/>
      <c r="AV159" s="155"/>
      <c r="AW159" s="155"/>
      <c r="AX159" s="155"/>
    </row>
    <row r="160" spans="5:50" x14ac:dyDescent="0.2">
      <c r="E160" s="152"/>
      <c r="F160" s="152"/>
      <c r="G160" s="153"/>
      <c r="H160" s="154"/>
      <c r="I160" s="152"/>
      <c r="J160" s="152"/>
      <c r="K160" s="153"/>
      <c r="L160" s="154"/>
      <c r="N160" s="155"/>
      <c r="O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  <c r="AA160" s="155"/>
      <c r="AB160" s="155"/>
      <c r="AC160" s="155"/>
      <c r="AD160" s="155"/>
      <c r="AE160" s="155"/>
      <c r="AF160" s="155"/>
      <c r="AG160" s="155"/>
      <c r="AH160" s="155"/>
      <c r="AI160" s="155"/>
      <c r="AJ160" s="155"/>
      <c r="AK160" s="155"/>
      <c r="AL160" s="155"/>
      <c r="AM160" s="155"/>
      <c r="AN160" s="155"/>
      <c r="AO160" s="155"/>
      <c r="AP160" s="155"/>
      <c r="AQ160" s="155"/>
      <c r="AR160" s="155"/>
      <c r="AS160" s="155"/>
      <c r="AT160" s="155"/>
      <c r="AU160" s="155"/>
      <c r="AV160" s="155"/>
      <c r="AW160" s="155"/>
      <c r="AX160" s="155"/>
    </row>
    <row r="161" spans="5:15" x14ac:dyDescent="0.2">
      <c r="E161" s="152"/>
      <c r="F161" s="152"/>
      <c r="G161" s="153"/>
      <c r="H161" s="154"/>
      <c r="I161" s="152"/>
      <c r="J161" s="152"/>
      <c r="K161" s="153"/>
      <c r="L161" s="154"/>
      <c r="N161" s="155"/>
      <c r="O161" s="155"/>
    </row>
    <row r="162" spans="5:15" x14ac:dyDescent="0.2">
      <c r="E162" s="152"/>
      <c r="F162" s="152"/>
      <c r="G162" s="153"/>
      <c r="H162" s="154"/>
      <c r="I162" s="152"/>
      <c r="J162" s="152"/>
      <c r="K162" s="153"/>
      <c r="L162" s="154"/>
      <c r="N162" s="155"/>
      <c r="O162" s="155"/>
    </row>
    <row r="163" spans="5:15" x14ac:dyDescent="0.2">
      <c r="E163" s="152"/>
      <c r="F163" s="152"/>
      <c r="G163" s="153"/>
      <c r="H163" s="154"/>
      <c r="I163" s="152"/>
      <c r="J163" s="152"/>
      <c r="K163" s="153"/>
      <c r="L163" s="154"/>
      <c r="N163" s="155"/>
      <c r="O163" s="155"/>
    </row>
    <row r="164" spans="5:15" x14ac:dyDescent="0.2">
      <c r="E164" s="152"/>
      <c r="F164" s="152"/>
      <c r="G164" s="153"/>
      <c r="H164" s="154"/>
      <c r="I164" s="152"/>
      <c r="J164" s="152"/>
      <c r="K164" s="153"/>
      <c r="L164" s="154"/>
      <c r="N164" s="155"/>
      <c r="O164" s="155"/>
    </row>
    <row r="165" spans="5:15" x14ac:dyDescent="0.2">
      <c r="E165" s="152"/>
      <c r="F165" s="152"/>
      <c r="G165" s="153"/>
      <c r="H165" s="154"/>
      <c r="I165" s="152"/>
      <c r="J165" s="152"/>
      <c r="K165" s="153"/>
      <c r="L165" s="154"/>
      <c r="N165" s="155"/>
      <c r="O165" s="155"/>
    </row>
    <row r="166" spans="5:15" x14ac:dyDescent="0.2">
      <c r="E166" s="152"/>
      <c r="F166" s="152"/>
      <c r="G166" s="153"/>
      <c r="H166" s="154"/>
      <c r="I166" s="152"/>
      <c r="J166" s="152"/>
      <c r="K166" s="153"/>
      <c r="L166" s="154"/>
      <c r="N166" s="155"/>
      <c r="O166" s="155"/>
    </row>
    <row r="167" spans="5:15" x14ac:dyDescent="0.2">
      <c r="E167" s="152"/>
      <c r="F167" s="152"/>
      <c r="G167" s="153"/>
      <c r="H167" s="154"/>
      <c r="I167" s="152"/>
      <c r="J167" s="152"/>
      <c r="K167" s="153"/>
      <c r="L167" s="154"/>
      <c r="N167" s="155"/>
      <c r="O167" s="155"/>
    </row>
    <row r="168" spans="5:15" x14ac:dyDescent="0.2">
      <c r="E168" s="152"/>
      <c r="F168" s="152"/>
      <c r="G168" s="153"/>
      <c r="H168" s="154"/>
      <c r="I168" s="152"/>
      <c r="J168" s="152"/>
      <c r="K168" s="153"/>
      <c r="L168" s="154"/>
      <c r="N168" s="155"/>
      <c r="O168" s="155"/>
    </row>
    <row r="169" spans="5:15" x14ac:dyDescent="0.2">
      <c r="E169" s="152"/>
      <c r="F169" s="152"/>
      <c r="G169" s="153"/>
      <c r="H169" s="154"/>
      <c r="I169" s="152"/>
      <c r="J169" s="152"/>
      <c r="K169" s="153"/>
      <c r="L169" s="154"/>
      <c r="N169" s="155"/>
      <c r="O169" s="155"/>
    </row>
    <row r="170" spans="5:15" x14ac:dyDescent="0.2">
      <c r="E170" s="152"/>
      <c r="F170" s="152"/>
      <c r="G170" s="153"/>
      <c r="H170" s="154"/>
      <c r="I170" s="152"/>
      <c r="J170" s="152"/>
      <c r="K170" s="153"/>
      <c r="L170" s="154"/>
      <c r="N170" s="155"/>
      <c r="O170" s="155"/>
    </row>
    <row r="171" spans="5:15" x14ac:dyDescent="0.2">
      <c r="E171" s="152"/>
      <c r="F171" s="152"/>
      <c r="G171" s="153"/>
      <c r="H171" s="154"/>
      <c r="I171" s="152"/>
      <c r="J171" s="152"/>
      <c r="K171" s="153"/>
      <c r="L171" s="154"/>
      <c r="N171" s="155"/>
      <c r="O171" s="155"/>
    </row>
    <row r="172" spans="5:15" x14ac:dyDescent="0.2">
      <c r="E172" s="152"/>
      <c r="F172" s="152"/>
      <c r="G172" s="153"/>
      <c r="H172" s="154"/>
      <c r="I172" s="152"/>
      <c r="J172" s="152"/>
      <c r="K172" s="153"/>
      <c r="L172" s="154"/>
      <c r="N172" s="155"/>
      <c r="O172" s="155"/>
    </row>
    <row r="173" spans="5:15" x14ac:dyDescent="0.2">
      <c r="E173" s="152"/>
      <c r="F173" s="152"/>
      <c r="G173" s="153"/>
      <c r="H173" s="154"/>
      <c r="I173" s="152"/>
      <c r="J173" s="152"/>
      <c r="K173" s="153"/>
      <c r="L173" s="154"/>
      <c r="N173" s="155"/>
      <c r="O173" s="155"/>
    </row>
    <row r="174" spans="5:15" x14ac:dyDescent="0.2">
      <c r="E174" s="152"/>
      <c r="F174" s="152"/>
      <c r="G174" s="153"/>
      <c r="H174" s="154"/>
      <c r="I174" s="152"/>
      <c r="J174" s="152"/>
      <c r="K174" s="153"/>
      <c r="L174" s="154"/>
      <c r="N174" s="155"/>
      <c r="O174" s="155"/>
    </row>
    <row r="175" spans="5:15" x14ac:dyDescent="0.2">
      <c r="E175" s="152"/>
      <c r="F175" s="152"/>
      <c r="G175" s="153"/>
      <c r="H175" s="154"/>
      <c r="I175" s="152"/>
      <c r="J175" s="152"/>
      <c r="K175" s="153"/>
      <c r="L175" s="154"/>
      <c r="N175" s="155"/>
      <c r="O175" s="155"/>
    </row>
    <row r="176" spans="5:15" x14ac:dyDescent="0.2">
      <c r="E176" s="152"/>
      <c r="F176" s="152"/>
      <c r="G176" s="153"/>
      <c r="H176" s="154"/>
      <c r="I176" s="152"/>
      <c r="J176" s="152"/>
      <c r="K176" s="153"/>
      <c r="L176" s="154"/>
      <c r="N176" s="155"/>
      <c r="O176" s="155"/>
    </row>
    <row r="177" spans="5:15" x14ac:dyDescent="0.2">
      <c r="E177" s="152"/>
      <c r="F177" s="152"/>
      <c r="G177" s="153"/>
      <c r="H177" s="154"/>
      <c r="I177" s="152"/>
      <c r="J177" s="152"/>
      <c r="K177" s="153"/>
      <c r="L177" s="154"/>
      <c r="N177" s="155"/>
      <c r="O177" s="155"/>
    </row>
    <row r="178" spans="5:15" x14ac:dyDescent="0.2">
      <c r="E178" s="152"/>
      <c r="F178" s="152"/>
      <c r="G178" s="153"/>
      <c r="H178" s="154"/>
      <c r="I178" s="152"/>
      <c r="J178" s="152"/>
      <c r="K178" s="153"/>
      <c r="L178" s="154"/>
      <c r="N178" s="155"/>
      <c r="O178" s="155"/>
    </row>
    <row r="179" spans="5:15" x14ac:dyDescent="0.2">
      <c r="E179" s="152"/>
      <c r="F179" s="152"/>
      <c r="G179" s="153"/>
      <c r="H179" s="154"/>
      <c r="I179" s="152"/>
      <c r="J179" s="152"/>
      <c r="K179" s="153"/>
      <c r="L179" s="154"/>
      <c r="N179" s="155"/>
      <c r="O179" s="155"/>
    </row>
    <row r="180" spans="5:15" x14ac:dyDescent="0.2">
      <c r="E180" s="152"/>
      <c r="F180" s="152"/>
      <c r="G180" s="153"/>
      <c r="H180" s="154"/>
      <c r="I180" s="152"/>
      <c r="J180" s="152"/>
      <c r="K180" s="153"/>
      <c r="L180" s="154"/>
      <c r="N180" s="155"/>
      <c r="O180" s="155"/>
    </row>
    <row r="181" spans="5:15" x14ac:dyDescent="0.2">
      <c r="E181" s="152"/>
      <c r="F181" s="152"/>
      <c r="G181" s="153"/>
      <c r="H181" s="154"/>
      <c r="I181" s="152"/>
      <c r="J181" s="152"/>
      <c r="K181" s="153"/>
      <c r="L181" s="154"/>
      <c r="N181" s="155"/>
      <c r="O181" s="155"/>
    </row>
    <row r="182" spans="5:15" x14ac:dyDescent="0.2">
      <c r="E182" s="152"/>
      <c r="F182" s="152"/>
      <c r="G182" s="153"/>
      <c r="H182" s="154"/>
      <c r="I182" s="152"/>
      <c r="J182" s="152"/>
      <c r="K182" s="153"/>
      <c r="L182" s="154"/>
      <c r="N182" s="155"/>
      <c r="O182" s="155"/>
    </row>
    <row r="183" spans="5:15" x14ac:dyDescent="0.2">
      <c r="E183" s="152"/>
      <c r="F183" s="152"/>
      <c r="G183" s="153"/>
      <c r="H183" s="154"/>
      <c r="I183" s="152"/>
      <c r="J183" s="152"/>
      <c r="K183" s="153"/>
      <c r="L183" s="154"/>
      <c r="N183" s="155"/>
      <c r="O183" s="155"/>
    </row>
    <row r="184" spans="5:15" x14ac:dyDescent="0.2">
      <c r="E184" s="152"/>
      <c r="F184" s="152"/>
      <c r="G184" s="153"/>
      <c r="H184" s="154"/>
      <c r="I184" s="152"/>
      <c r="J184" s="152"/>
      <c r="K184" s="153"/>
      <c r="L184" s="154"/>
      <c r="N184" s="155"/>
      <c r="O184" s="155"/>
    </row>
    <row r="185" spans="5:15" x14ac:dyDescent="0.2">
      <c r="E185" s="152"/>
      <c r="F185" s="152"/>
      <c r="G185" s="153"/>
      <c r="H185" s="154"/>
      <c r="I185" s="152"/>
      <c r="J185" s="152"/>
      <c r="K185" s="153"/>
      <c r="L185" s="154"/>
      <c r="N185" s="155"/>
      <c r="O185" s="155"/>
    </row>
    <row r="186" spans="5:15" x14ac:dyDescent="0.2">
      <c r="E186" s="152"/>
      <c r="F186" s="152"/>
      <c r="G186" s="153"/>
      <c r="H186" s="154"/>
      <c r="I186" s="152"/>
      <c r="J186" s="152"/>
      <c r="K186" s="153"/>
      <c r="L186" s="154"/>
      <c r="N186" s="155"/>
      <c r="O186" s="155"/>
    </row>
    <row r="187" spans="5:15" x14ac:dyDescent="0.2">
      <c r="E187" s="152"/>
      <c r="F187" s="152"/>
      <c r="G187" s="153"/>
      <c r="H187" s="154"/>
      <c r="I187" s="152"/>
      <c r="J187" s="152"/>
      <c r="K187" s="153"/>
      <c r="L187" s="154"/>
      <c r="N187" s="155"/>
      <c r="O187" s="155"/>
    </row>
    <row r="188" spans="5:15" x14ac:dyDescent="0.2">
      <c r="E188" s="152"/>
      <c r="F188" s="152"/>
      <c r="G188" s="153"/>
      <c r="H188" s="154"/>
      <c r="I188" s="152"/>
      <c r="J188" s="152"/>
      <c r="K188" s="153"/>
      <c r="L188" s="154"/>
      <c r="N188" s="155"/>
      <c r="O188" s="155"/>
    </row>
    <row r="189" spans="5:15" x14ac:dyDescent="0.2">
      <c r="E189" s="152"/>
      <c r="F189" s="152"/>
      <c r="G189" s="153"/>
      <c r="H189" s="154"/>
      <c r="I189" s="152"/>
      <c r="J189" s="152"/>
      <c r="K189" s="153"/>
      <c r="L189" s="154"/>
      <c r="N189" s="155"/>
      <c r="O189" s="155"/>
    </row>
    <row r="190" spans="5:15" x14ac:dyDescent="0.2">
      <c r="E190" s="152"/>
      <c r="F190" s="152"/>
      <c r="G190" s="153"/>
      <c r="H190" s="154"/>
      <c r="I190" s="152"/>
      <c r="J190" s="152"/>
      <c r="K190" s="153"/>
      <c r="L190" s="154"/>
      <c r="N190" s="155"/>
      <c r="O190" s="155"/>
    </row>
    <row r="191" spans="5:15" x14ac:dyDescent="0.2">
      <c r="E191" s="152"/>
      <c r="F191" s="152"/>
      <c r="G191" s="153"/>
      <c r="H191" s="154"/>
      <c r="I191" s="152"/>
      <c r="J191" s="152"/>
      <c r="K191" s="153"/>
      <c r="L191" s="154"/>
      <c r="N191" s="155"/>
      <c r="O191" s="155"/>
    </row>
    <row r="195" spans="4:12" x14ac:dyDescent="0.2">
      <c r="D195" s="140"/>
      <c r="E195" s="151"/>
      <c r="F195" s="152"/>
      <c r="J195" s="155"/>
      <c r="K195" s="155"/>
      <c r="L195" s="155"/>
    </row>
    <row r="196" spans="4:12" x14ac:dyDescent="0.2">
      <c r="D196" s="140"/>
      <c r="E196" s="151"/>
      <c r="F196" s="152"/>
      <c r="J196" s="155"/>
      <c r="K196" s="155"/>
      <c r="L196" s="155"/>
    </row>
    <row r="197" spans="4:12" x14ac:dyDescent="0.2">
      <c r="D197" s="140"/>
      <c r="E197" s="151"/>
      <c r="F197" s="152"/>
      <c r="J197" s="155"/>
      <c r="K197" s="155"/>
    </row>
    <row r="198" spans="4:12" x14ac:dyDescent="0.2">
      <c r="D198" s="140"/>
      <c r="E198" s="151"/>
      <c r="F198" s="152"/>
      <c r="J198" s="155"/>
      <c r="K198" s="155"/>
    </row>
    <row r="199" spans="4:12" x14ac:dyDescent="0.2">
      <c r="D199" s="141"/>
      <c r="E199" s="151"/>
      <c r="F199" s="152"/>
      <c r="J199" s="155"/>
      <c r="K199" s="155"/>
    </row>
  </sheetData>
  <sortState ref="C105:J138">
    <sortCondition ref="E105:E138"/>
    <sortCondition ref="C105:C138"/>
  </sortState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E80"/>
  <sheetViews>
    <sheetView workbookViewId="0">
      <pane xSplit="1" topLeftCell="B1" activePane="topRight" state="frozen"/>
      <selection pane="topRight" activeCell="O1" sqref="O1:V1048576"/>
    </sheetView>
  </sheetViews>
  <sheetFormatPr defaultRowHeight="14.25" x14ac:dyDescent="0.2"/>
  <cols>
    <col min="1" max="1" width="24.125" customWidth="1"/>
    <col min="12" max="12" width="10.625" customWidth="1"/>
    <col min="25" max="25" width="13.375" customWidth="1"/>
  </cols>
  <sheetData>
    <row r="1" spans="1:22" ht="15" x14ac:dyDescent="0.25">
      <c r="A1" s="3" t="s">
        <v>53</v>
      </c>
    </row>
    <row r="2" spans="1:22" x14ac:dyDescent="0.2">
      <c r="V2" s="37" t="str">
        <f>HYPERLINK(Path&amp;"EP0220143B1.pdf", "EP0220143B1")</f>
        <v>EP0220143B1</v>
      </c>
    </row>
    <row r="3" spans="1:22" x14ac:dyDescent="0.2">
      <c r="A3" s="58" t="s">
        <v>35</v>
      </c>
      <c r="B3" s="37" t="str">
        <f>HYPERLINK(Path&amp;"1-s2.0-S0168365915301255-main-Soederlind2015-metoprolol-IntelliCap.pdf", "Söderlind2015")</f>
        <v>Söderlind2015</v>
      </c>
      <c r="O3" t="s">
        <v>642</v>
      </c>
      <c r="Q3" t="s">
        <v>647</v>
      </c>
      <c r="V3" t="s">
        <v>633</v>
      </c>
    </row>
    <row r="4" spans="1:22" x14ac:dyDescent="0.2">
      <c r="A4" s="59" t="s">
        <v>117</v>
      </c>
      <c r="O4" t="s">
        <v>643</v>
      </c>
      <c r="Q4" t="s">
        <v>648</v>
      </c>
      <c r="V4" t="s">
        <v>643</v>
      </c>
    </row>
    <row r="5" spans="1:22" x14ac:dyDescent="0.2">
      <c r="A5" s="58" t="s">
        <v>118</v>
      </c>
      <c r="O5" t="s">
        <v>644</v>
      </c>
      <c r="V5" t="s">
        <v>748</v>
      </c>
    </row>
    <row r="6" spans="1:22" x14ac:dyDescent="0.2">
      <c r="A6" s="59" t="s">
        <v>119</v>
      </c>
      <c r="O6" t="s">
        <v>646</v>
      </c>
      <c r="Q6" t="s">
        <v>649</v>
      </c>
    </row>
    <row r="7" spans="1:22" x14ac:dyDescent="0.2">
      <c r="A7" s="58" t="s">
        <v>120</v>
      </c>
    </row>
    <row r="8" spans="1:22" x14ac:dyDescent="0.2">
      <c r="A8" s="58"/>
    </row>
    <row r="9" spans="1:22" ht="15" x14ac:dyDescent="0.25">
      <c r="A9" s="52" t="s">
        <v>11</v>
      </c>
      <c r="B9" s="304" t="s">
        <v>790</v>
      </c>
      <c r="C9" s="22"/>
      <c r="E9" s="304" t="s">
        <v>790</v>
      </c>
      <c r="F9" s="22"/>
      <c r="H9" s="304" t="s">
        <v>790</v>
      </c>
      <c r="I9" s="22"/>
      <c r="K9" s="304" t="s">
        <v>790</v>
      </c>
      <c r="L9" s="22"/>
      <c r="O9" t="s">
        <v>388</v>
      </c>
      <c r="Q9" t="s">
        <v>449</v>
      </c>
      <c r="R9" t="s">
        <v>654</v>
      </c>
      <c r="S9" t="s">
        <v>388</v>
      </c>
      <c r="V9" t="s">
        <v>633</v>
      </c>
    </row>
    <row r="10" spans="1:22" ht="15" x14ac:dyDescent="0.25">
      <c r="A10" s="52" t="s">
        <v>123</v>
      </c>
      <c r="B10" s="28" t="s">
        <v>365</v>
      </c>
      <c r="C10" s="22"/>
      <c r="E10" s="28" t="s">
        <v>372</v>
      </c>
      <c r="F10" s="22"/>
      <c r="H10" s="28" t="s">
        <v>373</v>
      </c>
      <c r="I10" s="22"/>
      <c r="K10" s="28" t="s">
        <v>366</v>
      </c>
      <c r="L10" s="22"/>
    </row>
    <row r="11" spans="1:22" ht="15" x14ac:dyDescent="0.25">
      <c r="A11" s="48" t="s">
        <v>0</v>
      </c>
      <c r="B11" s="38" t="s">
        <v>352</v>
      </c>
      <c r="C11" s="54"/>
      <c r="E11" s="38" t="s">
        <v>352</v>
      </c>
      <c r="F11" s="54"/>
      <c r="H11" s="38" t="s">
        <v>352</v>
      </c>
      <c r="I11" s="54"/>
      <c r="K11" s="38" t="s">
        <v>352</v>
      </c>
      <c r="L11" s="54"/>
    </row>
    <row r="12" spans="1:22" ht="15" x14ac:dyDescent="0.25">
      <c r="A12" s="13" t="s">
        <v>10</v>
      </c>
      <c r="B12" s="38"/>
      <c r="C12" s="54"/>
      <c r="E12" s="38"/>
      <c r="F12" s="54"/>
      <c r="H12" s="38"/>
      <c r="I12" s="54"/>
      <c r="K12" s="38"/>
      <c r="L12" s="54"/>
    </row>
    <row r="13" spans="1:22" ht="15" x14ac:dyDescent="0.25">
      <c r="A13" s="13" t="s">
        <v>9</v>
      </c>
      <c r="B13" s="39"/>
      <c r="C13" s="47"/>
      <c r="E13" s="39"/>
      <c r="F13" s="47"/>
      <c r="H13" s="39"/>
      <c r="I13" s="47"/>
      <c r="K13" s="39"/>
      <c r="L13" s="47"/>
    </row>
    <row r="14" spans="1:22" ht="15" x14ac:dyDescent="0.25">
      <c r="A14" s="13" t="s">
        <v>25</v>
      </c>
      <c r="B14" s="40" t="s">
        <v>367</v>
      </c>
      <c r="C14" s="52"/>
      <c r="D14" s="1"/>
      <c r="E14" s="40" t="s">
        <v>367</v>
      </c>
      <c r="F14" s="52"/>
      <c r="G14" s="1"/>
      <c r="H14" s="40" t="s">
        <v>367</v>
      </c>
      <c r="I14" s="52"/>
      <c r="J14" s="1"/>
      <c r="K14" s="40" t="s">
        <v>367</v>
      </c>
      <c r="L14" s="52"/>
      <c r="M14" s="1"/>
    </row>
    <row r="15" spans="1:22" ht="15" x14ac:dyDescent="0.25">
      <c r="A15" s="48" t="s">
        <v>2</v>
      </c>
      <c r="B15" s="39">
        <v>50</v>
      </c>
      <c r="C15" s="47"/>
      <c r="E15" s="39">
        <v>50</v>
      </c>
      <c r="F15" s="47"/>
      <c r="H15" s="39">
        <v>50</v>
      </c>
      <c r="I15" s="47" t="s">
        <v>383</v>
      </c>
      <c r="K15" s="39">
        <v>50</v>
      </c>
      <c r="L15" s="47"/>
      <c r="O15" t="s">
        <v>645</v>
      </c>
      <c r="Q15" t="s">
        <v>650</v>
      </c>
      <c r="R15" t="s">
        <v>651</v>
      </c>
      <c r="S15" t="s">
        <v>652</v>
      </c>
      <c r="T15" t="s">
        <v>653</v>
      </c>
      <c r="V15" t="s">
        <v>690</v>
      </c>
    </row>
    <row r="16" spans="1:22" ht="15" x14ac:dyDescent="0.25">
      <c r="A16" s="13" t="s">
        <v>26</v>
      </c>
      <c r="B16" s="41" t="s">
        <v>335</v>
      </c>
      <c r="C16" s="19"/>
      <c r="E16" s="41" t="s">
        <v>335</v>
      </c>
      <c r="F16" s="19"/>
      <c r="H16" s="41" t="s">
        <v>335</v>
      </c>
      <c r="I16" s="19"/>
      <c r="K16" s="41" t="s">
        <v>335</v>
      </c>
      <c r="L16" s="19"/>
      <c r="O16" t="s">
        <v>335</v>
      </c>
      <c r="Q16" t="s">
        <v>335</v>
      </c>
      <c r="R16" t="s">
        <v>335</v>
      </c>
      <c r="S16" t="s">
        <v>335</v>
      </c>
      <c r="T16" t="s">
        <v>335</v>
      </c>
      <c r="V16" t="s">
        <v>335</v>
      </c>
    </row>
    <row r="17" spans="1:22" ht="15" x14ac:dyDescent="0.25">
      <c r="A17" s="48" t="s">
        <v>14</v>
      </c>
      <c r="B17" s="42" t="s">
        <v>465</v>
      </c>
      <c r="C17" s="24"/>
      <c r="E17" s="42" t="s">
        <v>465</v>
      </c>
      <c r="F17" s="24"/>
      <c r="H17" s="42" t="s">
        <v>465</v>
      </c>
      <c r="I17" s="24"/>
      <c r="K17" s="42" t="s">
        <v>466</v>
      </c>
      <c r="L17" s="24"/>
    </row>
    <row r="18" spans="1:22" ht="15" x14ac:dyDescent="0.25">
      <c r="A18" s="52" t="s">
        <v>6</v>
      </c>
      <c r="B18" s="86" t="s">
        <v>369</v>
      </c>
      <c r="E18" s="86" t="s">
        <v>397</v>
      </c>
      <c r="H18" s="86" t="s">
        <v>469</v>
      </c>
      <c r="K18" s="86" t="s">
        <v>337</v>
      </c>
      <c r="O18" t="s">
        <v>364</v>
      </c>
      <c r="Q18" t="s">
        <v>337</v>
      </c>
      <c r="R18" t="s">
        <v>364</v>
      </c>
      <c r="S18" t="s">
        <v>364</v>
      </c>
      <c r="T18" t="s">
        <v>364</v>
      </c>
      <c r="V18" t="s">
        <v>364</v>
      </c>
    </row>
    <row r="19" spans="1:22" ht="15" x14ac:dyDescent="0.25">
      <c r="A19" s="52" t="s">
        <v>4</v>
      </c>
      <c r="B19" s="33" t="s">
        <v>370</v>
      </c>
      <c r="C19" s="33"/>
      <c r="D19" s="33"/>
      <c r="E19" s="33" t="s">
        <v>370</v>
      </c>
      <c r="F19" s="33"/>
      <c r="G19" s="33"/>
      <c r="H19" s="33" t="s">
        <v>370</v>
      </c>
      <c r="I19" s="33"/>
      <c r="J19" s="33"/>
      <c r="K19" s="33" t="s">
        <v>470</v>
      </c>
      <c r="L19" s="33"/>
      <c r="M19" s="33"/>
      <c r="O19" t="s">
        <v>388</v>
      </c>
      <c r="Q19" t="s">
        <v>449</v>
      </c>
      <c r="R19" t="s">
        <v>655</v>
      </c>
      <c r="S19" t="s">
        <v>388</v>
      </c>
      <c r="T19" t="s">
        <v>388</v>
      </c>
      <c r="V19" t="s">
        <v>747</v>
      </c>
    </row>
    <row r="20" spans="1:22" ht="15" x14ac:dyDescent="0.25">
      <c r="A20" s="52" t="s">
        <v>27</v>
      </c>
      <c r="B20" s="33">
        <v>240</v>
      </c>
      <c r="C20" s="33"/>
      <c r="D20" s="33"/>
      <c r="E20" s="33">
        <v>240</v>
      </c>
      <c r="F20" s="33"/>
      <c r="G20" s="33"/>
      <c r="H20" s="33">
        <v>240</v>
      </c>
      <c r="I20" s="33"/>
      <c r="J20" s="33"/>
      <c r="K20" s="33">
        <v>190</v>
      </c>
      <c r="L20" s="33"/>
      <c r="M20" s="33"/>
    </row>
    <row r="21" spans="1:22" ht="15" x14ac:dyDescent="0.25">
      <c r="A21" s="40" t="s">
        <v>12</v>
      </c>
      <c r="B21" s="33">
        <v>1</v>
      </c>
      <c r="C21" s="33"/>
      <c r="D21" s="33"/>
      <c r="E21" s="33">
        <v>1</v>
      </c>
      <c r="F21" s="33"/>
      <c r="G21" s="33"/>
      <c r="H21" s="33">
        <v>1</v>
      </c>
      <c r="I21" s="33"/>
      <c r="J21" s="33"/>
      <c r="K21" s="33">
        <v>1</v>
      </c>
      <c r="L21" s="33"/>
      <c r="M21" s="33"/>
    </row>
    <row r="22" spans="1:22" ht="15" x14ac:dyDescent="0.25">
      <c r="A22" s="52" t="s">
        <v>13</v>
      </c>
    </row>
    <row r="23" spans="1:22" ht="15" x14ac:dyDescent="0.25">
      <c r="A23" s="52"/>
      <c r="B23" s="31" t="s">
        <v>17</v>
      </c>
      <c r="C23" s="32" t="s">
        <v>91</v>
      </c>
      <c r="D23" t="s">
        <v>371</v>
      </c>
      <c r="E23" s="31" t="s">
        <v>17</v>
      </c>
      <c r="F23" s="32" t="s">
        <v>91</v>
      </c>
      <c r="G23" t="s">
        <v>371</v>
      </c>
      <c r="H23" s="31" t="s">
        <v>17</v>
      </c>
      <c r="I23" s="32" t="s">
        <v>91</v>
      </c>
      <c r="J23" t="s">
        <v>371</v>
      </c>
      <c r="K23" s="31" t="s">
        <v>17</v>
      </c>
      <c r="L23" s="32" t="s">
        <v>91</v>
      </c>
      <c r="M23" t="s">
        <v>371</v>
      </c>
    </row>
    <row r="24" spans="1:22" ht="15" x14ac:dyDescent="0.25">
      <c r="A24" s="48" t="s">
        <v>53</v>
      </c>
      <c r="L24" s="49"/>
    </row>
    <row r="25" spans="1:22" x14ac:dyDescent="0.2">
      <c r="A25" s="54" t="s">
        <v>126</v>
      </c>
      <c r="B25" t="s">
        <v>377</v>
      </c>
      <c r="E25" t="s">
        <v>377</v>
      </c>
      <c r="H25" t="s">
        <v>377</v>
      </c>
      <c r="K25" t="s">
        <v>378</v>
      </c>
      <c r="L25" s="49"/>
    </row>
    <row r="26" spans="1:22" x14ac:dyDescent="0.2">
      <c r="A26" s="22" t="s">
        <v>94</v>
      </c>
      <c r="B26" t="s">
        <v>335</v>
      </c>
      <c r="E26" t="s">
        <v>335</v>
      </c>
      <c r="H26" t="s">
        <v>335</v>
      </c>
      <c r="K26" t="s">
        <v>335</v>
      </c>
      <c r="L26" s="49"/>
    </row>
    <row r="27" spans="1:22" x14ac:dyDescent="0.2">
      <c r="A27" s="22" t="s">
        <v>56</v>
      </c>
      <c r="B27">
        <v>50</v>
      </c>
      <c r="E27">
        <v>50</v>
      </c>
      <c r="H27">
        <v>50</v>
      </c>
      <c r="K27">
        <v>50</v>
      </c>
      <c r="L27" s="49"/>
    </row>
    <row r="28" spans="1:22" ht="15" x14ac:dyDescent="0.25">
      <c r="A28" s="22" t="s">
        <v>57</v>
      </c>
      <c r="B28">
        <v>0</v>
      </c>
      <c r="E28">
        <v>0</v>
      </c>
      <c r="H28">
        <v>0</v>
      </c>
      <c r="K28">
        <v>0</v>
      </c>
      <c r="L28" s="13"/>
    </row>
    <row r="29" spans="1:22" x14ac:dyDescent="0.2">
      <c r="A29" s="22" t="s">
        <v>135</v>
      </c>
      <c r="B29" t="s">
        <v>375</v>
      </c>
      <c r="E29" t="s">
        <v>375</v>
      </c>
      <c r="H29" t="s">
        <v>375</v>
      </c>
      <c r="K29" t="s">
        <v>375</v>
      </c>
      <c r="L29" s="49"/>
      <c r="O29" t="s">
        <v>375</v>
      </c>
    </row>
    <row r="30" spans="1:22" x14ac:dyDescent="0.2">
      <c r="A30" s="22" t="s">
        <v>58</v>
      </c>
      <c r="B30" t="s">
        <v>471</v>
      </c>
      <c r="E30" t="s">
        <v>472</v>
      </c>
      <c r="H30" t="s">
        <v>473</v>
      </c>
      <c r="K30" t="s">
        <v>380</v>
      </c>
      <c r="L30" s="49"/>
    </row>
    <row r="31" spans="1:22" x14ac:dyDescent="0.2">
      <c r="A31" s="22" t="s">
        <v>474</v>
      </c>
      <c r="B31" t="s">
        <v>376</v>
      </c>
      <c r="E31" t="s">
        <v>376</v>
      </c>
      <c r="H31" t="s">
        <v>376</v>
      </c>
      <c r="K31" t="s">
        <v>379</v>
      </c>
    </row>
    <row r="32" spans="1:22" x14ac:dyDescent="0.2">
      <c r="A32" s="22" t="s">
        <v>477</v>
      </c>
      <c r="B32">
        <v>222</v>
      </c>
      <c r="E32">
        <v>215</v>
      </c>
      <c r="H32">
        <v>182</v>
      </c>
      <c r="K32" t="s">
        <v>476</v>
      </c>
    </row>
    <row r="33" spans="1:22" x14ac:dyDescent="0.2">
      <c r="A33" s="22" t="s">
        <v>475</v>
      </c>
      <c r="B33" s="171">
        <f>233*(B32/1000)</f>
        <v>51.725999999999999</v>
      </c>
      <c r="C33" s="171"/>
      <c r="D33" s="171"/>
      <c r="E33" s="171">
        <f>233*(E32/1000)</f>
        <v>50.094999999999999</v>
      </c>
      <c r="F33" s="171"/>
      <c r="G33" s="171"/>
      <c r="H33" s="171">
        <f>233*(H32/1000)</f>
        <v>42.405999999999999</v>
      </c>
    </row>
    <row r="34" spans="1:22" x14ac:dyDescent="0.2">
      <c r="A34" s="22" t="s">
        <v>54</v>
      </c>
    </row>
    <row r="35" spans="1:22" x14ac:dyDescent="0.2">
      <c r="A35" s="22" t="s">
        <v>59</v>
      </c>
      <c r="B35" s="2"/>
      <c r="E35" s="2"/>
      <c r="H35" s="2"/>
    </row>
    <row r="36" spans="1:22" x14ac:dyDescent="0.2">
      <c r="A36" s="22" t="s">
        <v>60</v>
      </c>
    </row>
    <row r="37" spans="1:22" x14ac:dyDescent="0.2">
      <c r="A37" s="22" t="s">
        <v>127</v>
      </c>
    </row>
    <row r="38" spans="1:22" x14ac:dyDescent="0.2">
      <c r="A38" s="22" t="s">
        <v>55</v>
      </c>
    </row>
    <row r="39" spans="1:22" x14ac:dyDescent="0.2">
      <c r="A39" s="22" t="s">
        <v>464</v>
      </c>
      <c r="B39">
        <v>1.0580000000000001</v>
      </c>
      <c r="E39">
        <v>1.0580000000000001</v>
      </c>
      <c r="H39">
        <v>1.0580000000000001</v>
      </c>
    </row>
    <row r="40" spans="1:22" x14ac:dyDescent="0.2">
      <c r="A40" s="22" t="s">
        <v>467</v>
      </c>
    </row>
    <row r="41" spans="1:22" x14ac:dyDescent="0.2">
      <c r="A41" s="22" t="s">
        <v>468</v>
      </c>
    </row>
    <row r="43" spans="1:22" ht="15" x14ac:dyDescent="0.25">
      <c r="A43" s="1" t="s">
        <v>128</v>
      </c>
    </row>
    <row r="44" spans="1:22" s="17" customFormat="1" x14ac:dyDescent="0.2">
      <c r="A44" s="17" t="s">
        <v>128</v>
      </c>
      <c r="O44" s="17" t="s">
        <v>657</v>
      </c>
      <c r="R44" s="17" t="s">
        <v>730</v>
      </c>
      <c r="S44" s="17" t="s">
        <v>393</v>
      </c>
      <c r="T44" s="17" t="s">
        <v>393</v>
      </c>
      <c r="V44" s="17" t="s">
        <v>657</v>
      </c>
    </row>
    <row r="45" spans="1:22" x14ac:dyDescent="0.2">
      <c r="A45" s="22" t="s">
        <v>55</v>
      </c>
    </row>
    <row r="46" spans="1:22" x14ac:dyDescent="0.2">
      <c r="A46" s="22" t="s">
        <v>116</v>
      </c>
    </row>
    <row r="47" spans="1:22" x14ac:dyDescent="0.2">
      <c r="A47" s="67" t="s">
        <v>132</v>
      </c>
    </row>
    <row r="48" spans="1:22" x14ac:dyDescent="0.2">
      <c r="A48" t="s">
        <v>134</v>
      </c>
      <c r="B48" t="s">
        <v>133</v>
      </c>
    </row>
    <row r="50" spans="1:31" x14ac:dyDescent="0.2">
      <c r="A50" s="49"/>
    </row>
    <row r="51" spans="1:31" ht="15" x14ac:dyDescent="0.25">
      <c r="A51" s="13" t="s">
        <v>749</v>
      </c>
      <c r="V51" t="s">
        <v>765</v>
      </c>
      <c r="Z51" t="s">
        <v>766</v>
      </c>
      <c r="AA51" s="17"/>
      <c r="AB51" s="17"/>
      <c r="AC51" s="17"/>
      <c r="AD51" s="17"/>
      <c r="AE51" s="17"/>
    </row>
    <row r="52" spans="1:31" ht="15" x14ac:dyDescent="0.25">
      <c r="A52" s="13"/>
      <c r="V52" s="190" t="s">
        <v>771</v>
      </c>
      <c r="AA52" s="220">
        <f>AA54+AA59</f>
        <v>2044.8000000000002</v>
      </c>
      <c r="AB52" s="222" t="s">
        <v>133</v>
      </c>
      <c r="AC52" t="s">
        <v>871</v>
      </c>
    </row>
    <row r="53" spans="1:31" ht="15" x14ac:dyDescent="0.25">
      <c r="A53" s="49"/>
      <c r="V53" s="1" t="s">
        <v>769</v>
      </c>
      <c r="AA53" s="20">
        <f>SUM(Z54:Z57)</f>
        <v>15323.699999999999</v>
      </c>
      <c r="AB53" s="223"/>
    </row>
    <row r="54" spans="1:31" x14ac:dyDescent="0.2">
      <c r="V54" t="s">
        <v>646</v>
      </c>
      <c r="Z54" s="220">
        <v>1440.9</v>
      </c>
      <c r="AA54" s="221">
        <f>Z54+Z57</f>
        <v>1816.8000000000002</v>
      </c>
      <c r="AB54" s="223">
        <f>100/AA52*Z54</f>
        <v>70.466549295774655</v>
      </c>
      <c r="AC54" t="s">
        <v>870</v>
      </c>
    </row>
    <row r="55" spans="1:31" x14ac:dyDescent="0.2">
      <c r="V55" s="219" t="s">
        <v>753</v>
      </c>
      <c r="Z55" s="20">
        <v>9618.9</v>
      </c>
      <c r="AB55" s="223"/>
    </row>
    <row r="56" spans="1:31" ht="15" x14ac:dyDescent="0.25">
      <c r="A56" s="48"/>
      <c r="V56" s="219" t="s">
        <v>767</v>
      </c>
      <c r="Z56" s="20">
        <v>3888</v>
      </c>
      <c r="AB56" s="223"/>
    </row>
    <row r="57" spans="1:31" x14ac:dyDescent="0.2">
      <c r="V57" t="s">
        <v>768</v>
      </c>
      <c r="Z57" s="220">
        <v>375.9</v>
      </c>
      <c r="AB57" s="223"/>
    </row>
    <row r="58" spans="1:31" ht="15" x14ac:dyDescent="0.25">
      <c r="V58" s="1" t="s">
        <v>770</v>
      </c>
      <c r="Z58" s="20"/>
      <c r="AA58" s="20">
        <f>SUM(Z59:Z63)</f>
        <v>5096.7999999999993</v>
      </c>
      <c r="AB58" s="223"/>
    </row>
    <row r="59" spans="1:31" ht="15" x14ac:dyDescent="0.25">
      <c r="A59" s="13"/>
      <c r="V59" t="s">
        <v>750</v>
      </c>
      <c r="Z59" s="220">
        <v>166.2</v>
      </c>
      <c r="AA59" s="221">
        <f>Z59+Z60+Z61</f>
        <v>228</v>
      </c>
      <c r="AB59" s="223"/>
      <c r="AC59" t="s">
        <v>872</v>
      </c>
    </row>
    <row r="60" spans="1:31" x14ac:dyDescent="0.2">
      <c r="A60" s="18"/>
      <c r="V60" t="s">
        <v>751</v>
      </c>
      <c r="Z60" s="220">
        <v>39</v>
      </c>
      <c r="AB60" s="223"/>
    </row>
    <row r="61" spans="1:31" x14ac:dyDescent="0.2">
      <c r="A61" s="49"/>
      <c r="V61" t="s">
        <v>752</v>
      </c>
      <c r="Z61" s="220">
        <v>22.8</v>
      </c>
      <c r="AB61" s="223"/>
    </row>
    <row r="62" spans="1:31" x14ac:dyDescent="0.2">
      <c r="A62" s="49"/>
      <c r="V62" s="219" t="s">
        <v>753</v>
      </c>
      <c r="Z62" s="20">
        <v>3889.9</v>
      </c>
    </row>
    <row r="63" spans="1:31" x14ac:dyDescent="0.2">
      <c r="A63" s="49"/>
      <c r="V63" s="219" t="s">
        <v>754</v>
      </c>
      <c r="Z63" s="20">
        <v>978.9</v>
      </c>
    </row>
    <row r="64" spans="1:31" x14ac:dyDescent="0.2">
      <c r="A64" s="49"/>
      <c r="V64" s="190" t="s">
        <v>772</v>
      </c>
      <c r="Z64" s="20"/>
      <c r="AA64" s="20">
        <f>SUM(Z65:Z69)+Z71</f>
        <v>993.4</v>
      </c>
      <c r="AB64" t="s">
        <v>777</v>
      </c>
    </row>
    <row r="65" spans="1:30" x14ac:dyDescent="0.2">
      <c r="A65" s="49"/>
      <c r="V65" s="17" t="s">
        <v>773</v>
      </c>
      <c r="Z65" s="20">
        <v>400</v>
      </c>
      <c r="AA65" s="20">
        <f>Z65*(AB54/100)</f>
        <v>281.86619718309862</v>
      </c>
      <c r="AB65" s="156">
        <f>AA65/0.19</f>
        <v>1483.5063009636769</v>
      </c>
      <c r="AC65" s="156">
        <f>AA64/AB65*1000</f>
        <v>669.62978138663334</v>
      </c>
      <c r="AD65" t="s">
        <v>778</v>
      </c>
    </row>
    <row r="66" spans="1:30" x14ac:dyDescent="0.2">
      <c r="A66" s="49"/>
      <c r="V66" t="s">
        <v>764</v>
      </c>
      <c r="Z66" s="20">
        <v>429.3</v>
      </c>
      <c r="AC66">
        <v>190</v>
      </c>
      <c r="AD66" t="s">
        <v>873</v>
      </c>
    </row>
    <row r="67" spans="1:30" x14ac:dyDescent="0.2">
      <c r="A67" s="49"/>
      <c r="V67" t="s">
        <v>755</v>
      </c>
      <c r="Z67" s="20">
        <v>67.099999999999994</v>
      </c>
      <c r="AC67" s="156">
        <f>100/AC65*AC66</f>
        <v>28.373887374984761</v>
      </c>
      <c r="AD67" t="s">
        <v>874</v>
      </c>
    </row>
    <row r="68" spans="1:30" x14ac:dyDescent="0.2">
      <c r="A68" s="49"/>
      <c r="V68" t="s">
        <v>756</v>
      </c>
      <c r="Z68" s="20">
        <v>40.299999999999997</v>
      </c>
    </row>
    <row r="69" spans="1:30" x14ac:dyDescent="0.2">
      <c r="A69" s="49"/>
      <c r="V69" t="s">
        <v>757</v>
      </c>
      <c r="Z69" s="20">
        <v>55.5</v>
      </c>
    </row>
    <row r="70" spans="1:30" x14ac:dyDescent="0.2">
      <c r="A70" s="49"/>
      <c r="V70" t="s">
        <v>758</v>
      </c>
      <c r="Z70" s="20">
        <v>314.7</v>
      </c>
    </row>
    <row r="71" spans="1:30" x14ac:dyDescent="0.2">
      <c r="A71" s="49"/>
      <c r="V71" t="s">
        <v>759</v>
      </c>
      <c r="Z71" s="20">
        <v>1.2</v>
      </c>
      <c r="AA71" s="20"/>
    </row>
    <row r="72" spans="1:30" ht="15" x14ac:dyDescent="0.25">
      <c r="A72" s="13"/>
      <c r="V72" s="190" t="s">
        <v>760</v>
      </c>
    </row>
    <row r="73" spans="1:30" x14ac:dyDescent="0.2">
      <c r="A73" s="49"/>
      <c r="V73" t="s">
        <v>761</v>
      </c>
      <c r="Z73" s="20">
        <v>159.6</v>
      </c>
    </row>
    <row r="74" spans="1:30" x14ac:dyDescent="0.2">
      <c r="A74" s="49"/>
      <c r="V74" t="s">
        <v>774</v>
      </c>
      <c r="Z74" s="20">
        <v>39.9</v>
      </c>
    </row>
    <row r="75" spans="1:30" x14ac:dyDescent="0.2">
      <c r="V75" t="s">
        <v>762</v>
      </c>
      <c r="Z75" s="20">
        <v>39.9</v>
      </c>
    </row>
    <row r="76" spans="1:30" x14ac:dyDescent="0.2">
      <c r="V76" t="s">
        <v>758</v>
      </c>
      <c r="Z76" s="20">
        <v>1356</v>
      </c>
    </row>
    <row r="77" spans="1:30" x14ac:dyDescent="0.2">
      <c r="V77" t="s">
        <v>763</v>
      </c>
      <c r="Z77" s="20">
        <v>1.6</v>
      </c>
    </row>
    <row r="79" spans="1:30" x14ac:dyDescent="0.2">
      <c r="V79" t="s">
        <v>775</v>
      </c>
    </row>
    <row r="80" spans="1:30" x14ac:dyDescent="0.2">
      <c r="V80" t="s">
        <v>776</v>
      </c>
      <c r="Z80" s="20">
        <v>190</v>
      </c>
      <c r="AA80" t="s">
        <v>142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77"/>
  <sheetViews>
    <sheetView topLeftCell="F1" workbookViewId="0">
      <selection activeCell="E1" sqref="E1"/>
    </sheetView>
  </sheetViews>
  <sheetFormatPr defaultRowHeight="14.25" x14ac:dyDescent="0.2"/>
  <cols>
    <col min="1" max="1" width="25.125" customWidth="1"/>
  </cols>
  <sheetData>
    <row r="1" spans="1:15" ht="15" x14ac:dyDescent="0.25">
      <c r="A1" s="3" t="s">
        <v>18</v>
      </c>
      <c r="E1" s="1" t="s">
        <v>52</v>
      </c>
    </row>
    <row r="3" spans="1:15" x14ac:dyDescent="0.2">
      <c r="B3" t="s">
        <v>441</v>
      </c>
      <c r="F3" s="37" t="str">
        <f>HYPERLINK(Path&amp;"Metoprolol - PubChem.pdf", "PubChem")</f>
        <v>PubChem</v>
      </c>
      <c r="H3" t="s">
        <v>671</v>
      </c>
      <c r="O3" s="37" t="str">
        <f>HYPERLINK(Path&amp;"brjclinpharm00211-0065-Quaterman1981-metoprolol.pdf", "Quaterman1981")</f>
        <v>Quaterman1981</v>
      </c>
    </row>
    <row r="4" spans="1:15" x14ac:dyDescent="0.2">
      <c r="A4" s="77" t="s">
        <v>24</v>
      </c>
      <c r="B4" t="s">
        <v>666</v>
      </c>
      <c r="D4" t="s">
        <v>149</v>
      </c>
      <c r="E4" s="37" t="str">
        <f>HYPERLINK(Path&amp;"", "Schönherr2015")</f>
        <v>Schönherr2015</v>
      </c>
      <c r="F4" t="s">
        <v>663</v>
      </c>
      <c r="H4" t="s">
        <v>663</v>
      </c>
    </row>
    <row r="5" spans="1:15" x14ac:dyDescent="0.2">
      <c r="A5" s="77" t="s">
        <v>143</v>
      </c>
      <c r="B5" t="s">
        <v>667</v>
      </c>
      <c r="D5" t="s">
        <v>345</v>
      </c>
      <c r="F5" t="s">
        <v>662</v>
      </c>
      <c r="H5" t="s">
        <v>660</v>
      </c>
    </row>
    <row r="6" spans="1:15" x14ac:dyDescent="0.2">
      <c r="A6" s="77" t="s">
        <v>145</v>
      </c>
    </row>
    <row r="7" spans="1:15" x14ac:dyDescent="0.2">
      <c r="A7" s="77" t="s">
        <v>144</v>
      </c>
    </row>
    <row r="8" spans="1:15" x14ac:dyDescent="0.2">
      <c r="A8" s="77" t="s">
        <v>729</v>
      </c>
      <c r="B8" s="216">
        <v>11957594</v>
      </c>
      <c r="D8">
        <v>4171</v>
      </c>
      <c r="F8">
        <v>62937</v>
      </c>
      <c r="H8">
        <v>6446646</v>
      </c>
    </row>
    <row r="9" spans="1:15" ht="15" x14ac:dyDescent="0.25">
      <c r="A9" s="77" t="s">
        <v>28</v>
      </c>
      <c r="B9" t="s">
        <v>346</v>
      </c>
      <c r="C9" s="28"/>
      <c r="D9" t="s">
        <v>343</v>
      </c>
      <c r="F9" t="s">
        <v>664</v>
      </c>
      <c r="G9" t="s">
        <v>664</v>
      </c>
      <c r="H9" s="210" t="s">
        <v>668</v>
      </c>
    </row>
    <row r="10" spans="1:15" x14ac:dyDescent="0.2">
      <c r="A10" s="77" t="s">
        <v>539</v>
      </c>
      <c r="F10" s="208">
        <v>9800288</v>
      </c>
    </row>
    <row r="11" spans="1:15" ht="15" x14ac:dyDescent="0.25">
      <c r="A11" s="77" t="s">
        <v>29</v>
      </c>
      <c r="B11" t="s">
        <v>344</v>
      </c>
      <c r="C11" s="28"/>
      <c r="D11" t="s">
        <v>673</v>
      </c>
      <c r="F11" s="209" t="s">
        <v>665</v>
      </c>
      <c r="G11" t="s">
        <v>661</v>
      </c>
      <c r="H11" s="209" t="s">
        <v>670</v>
      </c>
    </row>
    <row r="12" spans="1:15" x14ac:dyDescent="0.2">
      <c r="A12" s="77" t="s">
        <v>30</v>
      </c>
      <c r="B12">
        <v>684.8</v>
      </c>
      <c r="C12" s="28"/>
      <c r="D12">
        <v>267.39999999999998</v>
      </c>
      <c r="F12">
        <v>652.79999999999995</v>
      </c>
      <c r="G12">
        <v>385.45</v>
      </c>
      <c r="H12">
        <v>650.79999999999995</v>
      </c>
    </row>
    <row r="13" spans="1:15" x14ac:dyDescent="0.2">
      <c r="A13" s="77" t="s">
        <v>36</v>
      </c>
      <c r="B13">
        <v>1.9</v>
      </c>
      <c r="C13" t="s">
        <v>37</v>
      </c>
      <c r="D13">
        <v>9.6999999999999993</v>
      </c>
      <c r="F13" t="s">
        <v>456</v>
      </c>
      <c r="N13" t="s">
        <v>719</v>
      </c>
    </row>
    <row r="14" spans="1:15" x14ac:dyDescent="0.2">
      <c r="A14" s="77" t="s">
        <v>785</v>
      </c>
      <c r="B14">
        <f>(B12-150)/B12</f>
        <v>0.78095794392523366</v>
      </c>
      <c r="F14">
        <f>(F12-118)/F12</f>
        <v>0.81924019607843135</v>
      </c>
      <c r="H14">
        <f>(H12-116)/H12</f>
        <v>0.8217578365089121</v>
      </c>
    </row>
    <row r="15" spans="1:15" ht="15" x14ac:dyDescent="0.25">
      <c r="A15" s="3" t="s">
        <v>38</v>
      </c>
    </row>
    <row r="16" spans="1:15" x14ac:dyDescent="0.2">
      <c r="A16" t="s">
        <v>39</v>
      </c>
      <c r="B16" t="s">
        <v>347</v>
      </c>
    </row>
    <row r="17" spans="1:11" x14ac:dyDescent="0.2">
      <c r="A17" t="s">
        <v>40</v>
      </c>
      <c r="B17" s="80">
        <v>9.6999999999999993</v>
      </c>
      <c r="E17" s="37" t="str">
        <f>HYPERLINK(Path&amp;"", "Schönherr2015")</f>
        <v>Schönherr2015</v>
      </c>
    </row>
    <row r="18" spans="1:11" x14ac:dyDescent="0.2">
      <c r="A18" t="s">
        <v>41</v>
      </c>
    </row>
    <row r="19" spans="1:11" x14ac:dyDescent="0.2">
      <c r="A19" t="s">
        <v>40</v>
      </c>
    </row>
    <row r="20" spans="1:11" x14ac:dyDescent="0.2">
      <c r="A20" t="s">
        <v>41</v>
      </c>
    </row>
    <row r="22" spans="1:11" ht="15" x14ac:dyDescent="0.25">
      <c r="A22" s="3" t="s">
        <v>51</v>
      </c>
      <c r="B22" t="s">
        <v>361</v>
      </c>
      <c r="C22" t="s">
        <v>362</v>
      </c>
    </row>
    <row r="23" spans="1:11" x14ac:dyDescent="0.2">
      <c r="A23" t="s">
        <v>92</v>
      </c>
      <c r="B23">
        <v>13.4</v>
      </c>
      <c r="E23" s="37" t="str">
        <f>HYPERLINK(Path&amp;"lit-AAPS-Journal2009-Lukacova-metoprolol-PK-simulation.pdf", "Lukacova2009")</f>
        <v>Lukacova2009</v>
      </c>
    </row>
    <row r="24" spans="1:11" x14ac:dyDescent="0.2">
      <c r="A24" t="s">
        <v>92</v>
      </c>
      <c r="B24">
        <v>4.34</v>
      </c>
      <c r="C24">
        <v>3.41</v>
      </c>
      <c r="E24" s="83" t="s">
        <v>360</v>
      </c>
      <c r="F24" s="37"/>
      <c r="I24" t="s">
        <v>147</v>
      </c>
      <c r="K24" t="s">
        <v>513</v>
      </c>
    </row>
    <row r="25" spans="1:11" x14ac:dyDescent="0.2">
      <c r="A25" t="s">
        <v>140</v>
      </c>
      <c r="B25">
        <v>1.5</v>
      </c>
      <c r="C25">
        <v>1.2</v>
      </c>
      <c r="E25" t="s">
        <v>359</v>
      </c>
      <c r="F25">
        <v>1.34</v>
      </c>
      <c r="G25" t="s">
        <v>506</v>
      </c>
      <c r="I25">
        <v>-3.92</v>
      </c>
      <c r="K25">
        <v>1.2E-4</v>
      </c>
    </row>
    <row r="26" spans="1:11" x14ac:dyDescent="0.2">
      <c r="A26" t="s">
        <v>139</v>
      </c>
    </row>
    <row r="27" spans="1:11" x14ac:dyDescent="0.2">
      <c r="A27" t="s">
        <v>138</v>
      </c>
      <c r="B27">
        <v>0.2</v>
      </c>
      <c r="E27" t="s">
        <v>359</v>
      </c>
    </row>
    <row r="28" spans="1:11" x14ac:dyDescent="0.2">
      <c r="A28" t="s">
        <v>507</v>
      </c>
      <c r="B28" t="s">
        <v>510</v>
      </c>
      <c r="C28" t="s">
        <v>517</v>
      </c>
      <c r="E28" t="s">
        <v>506</v>
      </c>
      <c r="G28" t="s">
        <v>516</v>
      </c>
    </row>
    <row r="29" spans="1:11" x14ac:dyDescent="0.2">
      <c r="A29" t="s">
        <v>508</v>
      </c>
      <c r="B29" t="s">
        <v>511</v>
      </c>
      <c r="C29" t="s">
        <v>518</v>
      </c>
      <c r="E29" t="s">
        <v>506</v>
      </c>
      <c r="G29" t="s">
        <v>516</v>
      </c>
    </row>
    <row r="30" spans="1:11" x14ac:dyDescent="0.2">
      <c r="A30" t="s">
        <v>509</v>
      </c>
      <c r="B30" t="s">
        <v>512</v>
      </c>
      <c r="C30" t="s">
        <v>519</v>
      </c>
      <c r="E30" t="s">
        <v>506</v>
      </c>
      <c r="G30" t="s">
        <v>516</v>
      </c>
    </row>
    <row r="31" spans="1:11" x14ac:dyDescent="0.2">
      <c r="A31" t="s">
        <v>137</v>
      </c>
    </row>
    <row r="32" spans="1:11" x14ac:dyDescent="0.2">
      <c r="A32" t="s">
        <v>93</v>
      </c>
    </row>
    <row r="34" spans="1:9" ht="15" x14ac:dyDescent="0.25">
      <c r="A34" s="1" t="s">
        <v>95</v>
      </c>
    </row>
    <row r="35" spans="1:9" ht="15" x14ac:dyDescent="0.25">
      <c r="A35" s="1"/>
      <c r="B35" t="s">
        <v>98</v>
      </c>
      <c r="C35" t="s">
        <v>99</v>
      </c>
      <c r="D35" t="s">
        <v>100</v>
      </c>
    </row>
    <row r="36" spans="1:9" x14ac:dyDescent="0.2">
      <c r="A36" s="10" t="s">
        <v>96</v>
      </c>
      <c r="B36" s="10"/>
      <c r="C36" s="10"/>
      <c r="D36" s="10"/>
    </row>
    <row r="37" spans="1:9" x14ac:dyDescent="0.2">
      <c r="A37" s="10" t="s">
        <v>97</v>
      </c>
      <c r="B37" s="10"/>
      <c r="C37" s="10"/>
      <c r="D37" s="10"/>
    </row>
    <row r="38" spans="1:9" x14ac:dyDescent="0.2">
      <c r="A38" s="10" t="s">
        <v>59</v>
      </c>
      <c r="B38" s="10"/>
      <c r="C38" s="10"/>
      <c r="D38" s="10"/>
    </row>
    <row r="39" spans="1:9" x14ac:dyDescent="0.2">
      <c r="A39" s="10"/>
      <c r="B39" s="10"/>
      <c r="C39" s="10"/>
      <c r="D39" s="10"/>
    </row>
    <row r="40" spans="1:9" ht="15" x14ac:dyDescent="0.25">
      <c r="A40" s="3" t="s">
        <v>129</v>
      </c>
    </row>
    <row r="41" spans="1:9" x14ac:dyDescent="0.2">
      <c r="A41" s="10" t="s">
        <v>130</v>
      </c>
      <c r="B41" s="10" t="s">
        <v>96</v>
      </c>
      <c r="C41" s="10" t="s">
        <v>131</v>
      </c>
      <c r="D41" s="10"/>
    </row>
    <row r="42" spans="1:9" x14ac:dyDescent="0.2">
      <c r="A42" s="84" t="s">
        <v>363</v>
      </c>
      <c r="D42">
        <v>16.899999999999999</v>
      </c>
      <c r="E42" s="37"/>
      <c r="F42" t="s">
        <v>457</v>
      </c>
    </row>
    <row r="43" spans="1:9" x14ac:dyDescent="0.2">
      <c r="A43" s="10"/>
      <c r="B43">
        <v>6.5</v>
      </c>
      <c r="C43" s="10">
        <v>171</v>
      </c>
      <c r="D43" s="10"/>
      <c r="E43" s="37" t="str">
        <f>HYPERLINK(Path&amp;"lit-AAPS-Journal2009-Lukacova-metoprolol-PK-simulation.pdf", "Lukacova2009")</f>
        <v>Lukacova2009</v>
      </c>
    </row>
    <row r="44" spans="1:9" x14ac:dyDescent="0.2">
      <c r="C44">
        <v>700</v>
      </c>
      <c r="E44" s="81" t="s">
        <v>831</v>
      </c>
    </row>
    <row r="45" spans="1:9" x14ac:dyDescent="0.2">
      <c r="A45" s="10" t="s">
        <v>669</v>
      </c>
      <c r="B45" s="10"/>
      <c r="C45" s="10"/>
      <c r="D45" s="10"/>
      <c r="E45">
        <v>200</v>
      </c>
      <c r="F45" t="s">
        <v>656</v>
      </c>
    </row>
    <row r="46" spans="1:9" x14ac:dyDescent="0.2">
      <c r="A46" s="84" t="s">
        <v>674</v>
      </c>
      <c r="B46" s="10"/>
      <c r="C46" s="10">
        <v>3630</v>
      </c>
      <c r="D46" t="s">
        <v>672</v>
      </c>
      <c r="E46">
        <v>276</v>
      </c>
      <c r="F46" t="s">
        <v>672</v>
      </c>
      <c r="H46">
        <v>472</v>
      </c>
      <c r="I46" t="s">
        <v>672</v>
      </c>
    </row>
    <row r="47" spans="1:9" x14ac:dyDescent="0.2">
      <c r="A47" s="84" t="s">
        <v>535</v>
      </c>
      <c r="B47" s="10"/>
      <c r="C47" s="10">
        <v>9</v>
      </c>
      <c r="D47" s="10">
        <v>5.5999999999999995E-4</v>
      </c>
    </row>
    <row r="48" spans="1:9" x14ac:dyDescent="0.2">
      <c r="A48" s="84" t="s">
        <v>788</v>
      </c>
      <c r="D48" s="20">
        <v>16</v>
      </c>
      <c r="E48" t="s">
        <v>789</v>
      </c>
    </row>
    <row r="49" spans="1:7" x14ac:dyDescent="0.2">
      <c r="A49" s="49"/>
    </row>
    <row r="50" spans="1:7" ht="15" x14ac:dyDescent="0.25">
      <c r="A50" s="13" t="s">
        <v>61</v>
      </c>
    </row>
    <row r="51" spans="1:7" x14ac:dyDescent="0.2">
      <c r="A51" s="49" t="s">
        <v>62</v>
      </c>
    </row>
    <row r="52" spans="1:7" x14ac:dyDescent="0.2">
      <c r="A52" s="49" t="s">
        <v>3</v>
      </c>
    </row>
    <row r="53" spans="1:7" x14ac:dyDescent="0.2">
      <c r="A53" s="49"/>
    </row>
    <row r="54" spans="1:7" ht="15" x14ac:dyDescent="0.25">
      <c r="A54" s="1" t="s">
        <v>42</v>
      </c>
    </row>
    <row r="55" spans="1:7" x14ac:dyDescent="0.2">
      <c r="A55" t="s">
        <v>43</v>
      </c>
      <c r="B55" t="s">
        <v>461</v>
      </c>
      <c r="D55" t="s">
        <v>462</v>
      </c>
      <c r="E55" s="37" t="str">
        <f>HYPERLINK(Path&amp;"Metoprolol - PubChem.pdf", "PubChem")</f>
        <v>PubChem</v>
      </c>
      <c r="G55" s="37" t="str">
        <f>HYPERLINK(Path&amp;"Gardiner2006-metoprolol-metabolizm-521.full.pdf", "Garnier2006")</f>
        <v>Garnier2006</v>
      </c>
    </row>
    <row r="56" spans="1:7" x14ac:dyDescent="0.2">
      <c r="A56" t="s">
        <v>44</v>
      </c>
      <c r="B56" t="s">
        <v>70</v>
      </c>
    </row>
    <row r="57" spans="1:7" x14ac:dyDescent="0.2">
      <c r="A57" t="s">
        <v>45</v>
      </c>
    </row>
    <row r="58" spans="1:7" x14ac:dyDescent="0.2">
      <c r="A58" t="s">
        <v>46</v>
      </c>
    </row>
    <row r="59" spans="1:7" x14ac:dyDescent="0.2">
      <c r="A59" t="s">
        <v>47</v>
      </c>
    </row>
    <row r="60" spans="1:7" x14ac:dyDescent="0.2">
      <c r="A60" t="s">
        <v>458</v>
      </c>
      <c r="B60" t="s">
        <v>541</v>
      </c>
    </row>
    <row r="61" spans="1:7" ht="15" x14ac:dyDescent="0.25">
      <c r="B61" s="1" t="s">
        <v>540</v>
      </c>
    </row>
    <row r="62" spans="1:7" x14ac:dyDescent="0.2">
      <c r="B62" t="s">
        <v>459</v>
      </c>
    </row>
    <row r="64" spans="1:7" x14ac:dyDescent="0.2">
      <c r="B64" t="s">
        <v>460</v>
      </c>
    </row>
    <row r="65" spans="1:6" ht="15" x14ac:dyDescent="0.25">
      <c r="A65" s="1" t="s">
        <v>48</v>
      </c>
    </row>
    <row r="66" spans="1:6" x14ac:dyDescent="0.2">
      <c r="A66" t="s">
        <v>49</v>
      </c>
      <c r="B66" t="s">
        <v>537</v>
      </c>
      <c r="E66" s="37" t="str">
        <f>HYPERLINK(Path&amp;"Metoprolol - PubChem.pdf", "PubChem")</f>
        <v>PubChem</v>
      </c>
      <c r="F66" t="s">
        <v>538</v>
      </c>
    </row>
    <row r="67" spans="1:6" x14ac:dyDescent="0.2">
      <c r="A67" t="s">
        <v>50</v>
      </c>
      <c r="B67" t="s">
        <v>463</v>
      </c>
    </row>
    <row r="68" spans="1:6" x14ac:dyDescent="0.2">
      <c r="A68" t="s">
        <v>44</v>
      </c>
    </row>
    <row r="69" spans="1:6" x14ac:dyDescent="0.2">
      <c r="A69" t="s">
        <v>46</v>
      </c>
    </row>
    <row r="70" spans="1:6" x14ac:dyDescent="0.2">
      <c r="A70" t="s">
        <v>47</v>
      </c>
    </row>
    <row r="74" spans="1:6" ht="15" x14ac:dyDescent="0.25">
      <c r="A74" s="1" t="s">
        <v>101</v>
      </c>
    </row>
    <row r="75" spans="1:6" x14ac:dyDescent="0.2">
      <c r="A75" s="64" t="s">
        <v>124</v>
      </c>
      <c r="B75">
        <v>120</v>
      </c>
    </row>
    <row r="76" spans="1:6" x14ac:dyDescent="0.2">
      <c r="A76" s="64" t="s">
        <v>136</v>
      </c>
    </row>
    <row r="77" spans="1:6" x14ac:dyDescent="0.2">
      <c r="A77" t="s">
        <v>349</v>
      </c>
      <c r="B77" t="s">
        <v>348</v>
      </c>
    </row>
  </sheetData>
  <hyperlinks>
    <hyperlink ref="F10" r:id="rId1" display="http://pubchem.ncbi.nlm.nih.gov/summary/summary.cgi?cid=9800288"/>
  </hyperlinks>
  <pageMargins left="0.7" right="0.7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"/>
  <sheetViews>
    <sheetView workbookViewId="0">
      <selection activeCell="A26" sqref="A26"/>
    </sheetView>
  </sheetViews>
  <sheetFormatPr defaultRowHeight="14.25" x14ac:dyDescent="0.2"/>
  <cols>
    <col min="1" max="1" width="16.25" customWidth="1"/>
  </cols>
  <sheetData>
    <row r="1" spans="1:11" ht="15" x14ac:dyDescent="0.25">
      <c r="A1" s="3" t="s">
        <v>19</v>
      </c>
    </row>
    <row r="3" spans="1:11" ht="15" x14ac:dyDescent="0.25">
      <c r="A3" s="58" t="s">
        <v>35</v>
      </c>
      <c r="B3" s="37" t="str">
        <f>HYPERLINK(Path&amp;"file name.abc", "friendly_name")</f>
        <v>friendly_name</v>
      </c>
      <c r="F3" s="13"/>
      <c r="K3" s="13"/>
    </row>
    <row r="4" spans="1:11" x14ac:dyDescent="0.2">
      <c r="A4" s="59" t="s">
        <v>117</v>
      </c>
    </row>
    <row r="5" spans="1:11" x14ac:dyDescent="0.2">
      <c r="A5" s="58" t="s">
        <v>118</v>
      </c>
    </row>
    <row r="6" spans="1:11" x14ac:dyDescent="0.2">
      <c r="A6" s="59" t="s">
        <v>119</v>
      </c>
    </row>
    <row r="7" spans="1:11" x14ac:dyDescent="0.2">
      <c r="A7" s="58" t="s">
        <v>120</v>
      </c>
    </row>
    <row r="8" spans="1:11" x14ac:dyDescent="0.2">
      <c r="A8" s="58"/>
    </row>
    <row r="9" spans="1:11" ht="15" x14ac:dyDescent="0.25">
      <c r="A9" s="52" t="s">
        <v>11</v>
      </c>
    </row>
    <row r="10" spans="1:11" ht="15" x14ac:dyDescent="0.25">
      <c r="A10" s="52" t="s">
        <v>45</v>
      </c>
    </row>
    <row r="11" spans="1:11" ht="15" x14ac:dyDescent="0.25">
      <c r="A11" s="48" t="s">
        <v>0</v>
      </c>
    </row>
    <row r="12" spans="1:11" ht="15" x14ac:dyDescent="0.25">
      <c r="A12" s="13" t="s">
        <v>10</v>
      </c>
    </row>
    <row r="13" spans="1:11" ht="15" x14ac:dyDescent="0.25">
      <c r="A13" s="13" t="s">
        <v>9</v>
      </c>
    </row>
    <row r="14" spans="1:11" ht="15" x14ac:dyDescent="0.25">
      <c r="A14" s="13" t="s">
        <v>25</v>
      </c>
    </row>
    <row r="15" spans="1:11" ht="15" x14ac:dyDescent="0.25">
      <c r="A15" s="48" t="s">
        <v>2</v>
      </c>
    </row>
    <row r="16" spans="1:11" ht="15" x14ac:dyDescent="0.25">
      <c r="A16" s="13" t="s">
        <v>26</v>
      </c>
    </row>
    <row r="17" spans="1:12" ht="15" x14ac:dyDescent="0.25">
      <c r="A17" s="48" t="s">
        <v>14</v>
      </c>
      <c r="B17" s="2"/>
      <c r="F17" s="13"/>
      <c r="K17" s="13"/>
      <c r="L17" s="2"/>
    </row>
    <row r="18" spans="1:12" ht="15" x14ac:dyDescent="0.25">
      <c r="A18" s="52" t="s">
        <v>6</v>
      </c>
    </row>
    <row r="19" spans="1:12" ht="15" x14ac:dyDescent="0.25">
      <c r="A19" s="52" t="s">
        <v>4</v>
      </c>
    </row>
    <row r="20" spans="1:12" ht="15" x14ac:dyDescent="0.25">
      <c r="A20" s="52" t="s">
        <v>27</v>
      </c>
    </row>
    <row r="21" spans="1:12" ht="15" x14ac:dyDescent="0.25">
      <c r="A21" s="40" t="s">
        <v>12</v>
      </c>
    </row>
    <row r="22" spans="1:12" ht="15" x14ac:dyDescent="0.25">
      <c r="A22" s="52" t="s">
        <v>13</v>
      </c>
    </row>
    <row r="23" spans="1:12" x14ac:dyDescent="0.2">
      <c r="A23" s="17" t="s">
        <v>19</v>
      </c>
    </row>
    <row r="24" spans="1:12" x14ac:dyDescent="0.2">
      <c r="A24" s="17" t="s">
        <v>63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05"/>
  <sheetViews>
    <sheetView topLeftCell="A67" workbookViewId="0">
      <selection activeCell="B91" sqref="B91"/>
    </sheetView>
  </sheetViews>
  <sheetFormatPr defaultRowHeight="14.25" x14ac:dyDescent="0.2"/>
  <cols>
    <col min="1" max="1" width="21.375" customWidth="1"/>
    <col min="2" max="59" width="10.625" customWidth="1"/>
  </cols>
  <sheetData>
    <row r="1" spans="1:11" ht="15" x14ac:dyDescent="0.25">
      <c r="A1" s="55" t="s">
        <v>64</v>
      </c>
    </row>
    <row r="2" spans="1:11" x14ac:dyDescent="0.2">
      <c r="A2" s="22"/>
    </row>
    <row r="3" spans="1:11" x14ac:dyDescent="0.2">
      <c r="A3" s="58" t="s">
        <v>35</v>
      </c>
      <c r="B3" s="37" t="str">
        <f>HYPERLINK(Path&amp;"Lukacova, Woltosz, Bolger - 2009 - Prediction of modified release pharmacokinetics and pharmacodynamics from in vitro, immediate release.pdf", "Lukacova2009")</f>
        <v>Lukacova2009</v>
      </c>
      <c r="D3" s="2"/>
    </row>
    <row r="4" spans="1:11" x14ac:dyDescent="0.2">
      <c r="A4" s="59" t="s">
        <v>117</v>
      </c>
      <c r="B4" s="37"/>
    </row>
    <row r="5" spans="1:11" ht="15" x14ac:dyDescent="0.25">
      <c r="A5" s="58" t="s">
        <v>118</v>
      </c>
      <c r="B5" s="37"/>
      <c r="F5" s="13"/>
      <c r="K5" s="13"/>
    </row>
    <row r="6" spans="1:11" x14ac:dyDescent="0.2">
      <c r="A6" s="59" t="s">
        <v>119</v>
      </c>
      <c r="B6" s="37"/>
      <c r="F6" s="49"/>
      <c r="K6" s="49"/>
    </row>
    <row r="7" spans="1:11" x14ac:dyDescent="0.2">
      <c r="A7" s="58" t="s">
        <v>120</v>
      </c>
      <c r="B7" t="s">
        <v>640</v>
      </c>
      <c r="F7" s="49"/>
      <c r="K7" s="49"/>
    </row>
    <row r="8" spans="1:11" x14ac:dyDescent="0.2">
      <c r="A8" s="58"/>
      <c r="F8" s="49"/>
      <c r="K8" s="49"/>
    </row>
    <row r="9" spans="1:11" ht="15" x14ac:dyDescent="0.25">
      <c r="A9" s="52" t="s">
        <v>11</v>
      </c>
      <c r="B9" s="314" t="s">
        <v>876</v>
      </c>
      <c r="D9" s="37"/>
      <c r="F9" s="49"/>
      <c r="K9" s="49"/>
    </row>
    <row r="10" spans="1:11" ht="15" x14ac:dyDescent="0.25">
      <c r="A10" s="52" t="s">
        <v>45</v>
      </c>
      <c r="F10" s="49"/>
      <c r="K10" s="49"/>
    </row>
    <row r="11" spans="1:11" ht="15" x14ac:dyDescent="0.25">
      <c r="A11" s="48" t="s">
        <v>0</v>
      </c>
      <c r="B11" t="s">
        <v>352</v>
      </c>
      <c r="F11" s="49"/>
      <c r="K11" s="49"/>
    </row>
    <row r="12" spans="1:11" ht="15" x14ac:dyDescent="0.25">
      <c r="A12" s="13" t="s">
        <v>10</v>
      </c>
      <c r="F12" s="49"/>
      <c r="K12" s="49"/>
    </row>
    <row r="13" spans="1:11" ht="15" x14ac:dyDescent="0.25">
      <c r="A13" s="13" t="s">
        <v>9</v>
      </c>
      <c r="D13" s="37" t="str">
        <f>HYPERLINK(Path&amp;"Lukacova, Woltosz, Bolger - 2009 - Prediction of modified release pharmacokinetics and pharmacodynamics from in vitro, immediate release.pdf", "Lukacova2009")</f>
        <v>Lukacova2009</v>
      </c>
      <c r="F13" s="49"/>
      <c r="K13" s="49"/>
    </row>
    <row r="14" spans="1:11" ht="15" x14ac:dyDescent="0.25">
      <c r="A14" s="13" t="s">
        <v>25</v>
      </c>
      <c r="F14" s="49"/>
      <c r="K14" s="49"/>
    </row>
    <row r="15" spans="1:11" ht="15" x14ac:dyDescent="0.25">
      <c r="A15" s="48" t="s">
        <v>353</v>
      </c>
      <c r="B15">
        <v>100</v>
      </c>
      <c r="F15" s="49"/>
      <c r="K15" s="49"/>
    </row>
    <row r="16" spans="1:11" ht="15" x14ac:dyDescent="0.25">
      <c r="A16" s="13" t="s">
        <v>26</v>
      </c>
      <c r="B16" t="s">
        <v>354</v>
      </c>
      <c r="F16" s="49"/>
      <c r="K16" s="49"/>
    </row>
    <row r="17" spans="1:11" ht="15" x14ac:dyDescent="0.25">
      <c r="A17" s="48" t="s">
        <v>14</v>
      </c>
      <c r="F17" s="49"/>
      <c r="K17" s="49"/>
    </row>
    <row r="18" spans="1:11" ht="15" x14ac:dyDescent="0.25">
      <c r="A18" s="52" t="s">
        <v>6</v>
      </c>
      <c r="F18" s="49"/>
      <c r="K18" s="49"/>
    </row>
    <row r="19" spans="1:11" ht="15" x14ac:dyDescent="0.25">
      <c r="A19" s="52" t="s">
        <v>4</v>
      </c>
      <c r="F19" s="49"/>
      <c r="K19" s="49"/>
    </row>
    <row r="20" spans="1:11" ht="15" x14ac:dyDescent="0.25">
      <c r="A20" s="52" t="s">
        <v>27</v>
      </c>
      <c r="F20" s="49"/>
      <c r="K20" s="49"/>
    </row>
    <row r="21" spans="1:11" ht="15" x14ac:dyDescent="0.25">
      <c r="A21" s="40" t="s">
        <v>12</v>
      </c>
      <c r="F21" s="49"/>
      <c r="K21" s="49"/>
    </row>
    <row r="22" spans="1:11" ht="15" x14ac:dyDescent="0.25">
      <c r="A22" s="52" t="s">
        <v>13</v>
      </c>
      <c r="F22" s="49"/>
      <c r="K22" s="49"/>
    </row>
    <row r="23" spans="1:11" ht="15" x14ac:dyDescent="0.25">
      <c r="A23" s="52"/>
      <c r="F23" s="49"/>
      <c r="K23" s="49"/>
    </row>
    <row r="24" spans="1:11" x14ac:dyDescent="0.2">
      <c r="A24" s="22" t="s">
        <v>65</v>
      </c>
      <c r="F24" s="49"/>
      <c r="K24" s="49"/>
    </row>
    <row r="25" spans="1:11" x14ac:dyDescent="0.2">
      <c r="A25" s="78" t="s">
        <v>66</v>
      </c>
      <c r="F25" s="49"/>
      <c r="K25" s="49"/>
    </row>
    <row r="26" spans="1:11" x14ac:dyDescent="0.2">
      <c r="A26" s="22"/>
      <c r="F26" s="49"/>
      <c r="K26" s="49"/>
    </row>
    <row r="27" spans="1:11" ht="15" x14ac:dyDescent="0.25">
      <c r="A27" s="68" t="s">
        <v>67</v>
      </c>
      <c r="F27" s="13"/>
      <c r="K27" s="13"/>
    </row>
    <row r="28" spans="1:11" x14ac:dyDescent="0.2">
      <c r="A28" s="22" t="s">
        <v>68</v>
      </c>
      <c r="F28" s="49"/>
      <c r="K28" s="49"/>
    </row>
    <row r="29" spans="1:11" x14ac:dyDescent="0.2">
      <c r="A29" s="22" t="s">
        <v>69</v>
      </c>
      <c r="F29" s="49"/>
      <c r="K29" s="49"/>
    </row>
    <row r="30" spans="1:11" x14ac:dyDescent="0.2">
      <c r="A30" s="22" t="s">
        <v>70</v>
      </c>
      <c r="F30" s="49"/>
      <c r="K30" s="49"/>
    </row>
    <row r="31" spans="1:11" x14ac:dyDescent="0.2">
      <c r="A31" s="22"/>
      <c r="F31" s="49"/>
      <c r="K31" s="49"/>
    </row>
    <row r="32" spans="1:11" x14ac:dyDescent="0.2">
      <c r="A32" s="68" t="s">
        <v>71</v>
      </c>
      <c r="B32">
        <v>0.77</v>
      </c>
      <c r="F32" s="49"/>
      <c r="K32" s="49"/>
    </row>
    <row r="33" spans="1:11" x14ac:dyDescent="0.2">
      <c r="A33" s="78" t="s">
        <v>102</v>
      </c>
      <c r="B33">
        <v>0.89</v>
      </c>
      <c r="F33" s="49"/>
      <c r="K33" s="49"/>
    </row>
    <row r="34" spans="1:11" x14ac:dyDescent="0.2">
      <c r="A34" s="22" t="s">
        <v>103</v>
      </c>
      <c r="F34" s="49"/>
      <c r="K34" s="49"/>
    </row>
    <row r="35" spans="1:11" x14ac:dyDescent="0.2">
      <c r="A35" s="22"/>
    </row>
    <row r="36" spans="1:11" x14ac:dyDescent="0.2">
      <c r="A36" s="22" t="s">
        <v>72</v>
      </c>
    </row>
    <row r="37" spans="1:11" x14ac:dyDescent="0.2">
      <c r="A37" s="78" t="s">
        <v>73</v>
      </c>
    </row>
    <row r="38" spans="1:11" x14ac:dyDescent="0.2">
      <c r="A38" s="22" t="s">
        <v>104</v>
      </c>
      <c r="B38" s="17">
        <v>0.9</v>
      </c>
    </row>
    <row r="39" spans="1:11" x14ac:dyDescent="0.2">
      <c r="A39" s="78" t="s">
        <v>74</v>
      </c>
      <c r="B39">
        <v>4</v>
      </c>
    </row>
    <row r="40" spans="1:11" x14ac:dyDescent="0.2">
      <c r="A40" s="22" t="s">
        <v>75</v>
      </c>
      <c r="B40" t="s">
        <v>356</v>
      </c>
    </row>
    <row r="41" spans="1:11" x14ac:dyDescent="0.2">
      <c r="A41" s="22"/>
    </row>
    <row r="42" spans="1:11" x14ac:dyDescent="0.2">
      <c r="A42" s="22" t="s">
        <v>76</v>
      </c>
    </row>
    <row r="43" spans="1:11" x14ac:dyDescent="0.2">
      <c r="A43" s="22" t="s">
        <v>79</v>
      </c>
    </row>
    <row r="44" spans="1:11" x14ac:dyDescent="0.2">
      <c r="A44" s="22" t="s">
        <v>80</v>
      </c>
    </row>
    <row r="45" spans="1:11" x14ac:dyDescent="0.2">
      <c r="A45" s="22"/>
    </row>
    <row r="46" spans="1:11" x14ac:dyDescent="0.2">
      <c r="A46" s="22" t="s">
        <v>77</v>
      </c>
    </row>
    <row r="47" spans="1:11" x14ac:dyDescent="0.2">
      <c r="A47" s="22" t="s">
        <v>78</v>
      </c>
    </row>
    <row r="48" spans="1:11" x14ac:dyDescent="0.2">
      <c r="A48" s="22" t="s">
        <v>81</v>
      </c>
    </row>
    <row r="49" spans="1:10" x14ac:dyDescent="0.2">
      <c r="A49" s="22"/>
    </row>
    <row r="50" spans="1:10" ht="15" x14ac:dyDescent="0.25">
      <c r="A50" s="48" t="s">
        <v>82</v>
      </c>
      <c r="I50" t="s">
        <v>390</v>
      </c>
      <c r="J50" t="s">
        <v>133</v>
      </c>
    </row>
    <row r="51" spans="1:10" x14ac:dyDescent="0.2">
      <c r="A51" s="22" t="s">
        <v>83</v>
      </c>
      <c r="H51" t="s">
        <v>495</v>
      </c>
      <c r="I51">
        <v>12</v>
      </c>
      <c r="J51" s="20">
        <f>100/I$55*I51</f>
        <v>6.9767441860465116</v>
      </c>
    </row>
    <row r="52" spans="1:10" ht="15" x14ac:dyDescent="0.25">
      <c r="A52" s="22" t="s">
        <v>84</v>
      </c>
      <c r="H52" s="1" t="s">
        <v>496</v>
      </c>
      <c r="I52">
        <v>122</v>
      </c>
      <c r="J52" s="181">
        <f t="shared" ref="J52:J54" si="0">100/I$55*I52</f>
        <v>70.930232558139537</v>
      </c>
    </row>
    <row r="53" spans="1:10" x14ac:dyDescent="0.2">
      <c r="A53" s="22" t="s">
        <v>85</v>
      </c>
      <c r="B53" t="s">
        <v>404</v>
      </c>
      <c r="H53" t="s">
        <v>497</v>
      </c>
      <c r="I53">
        <v>11</v>
      </c>
      <c r="J53" s="20">
        <f t="shared" si="0"/>
        <v>6.395348837209303</v>
      </c>
    </row>
    <row r="54" spans="1:10" x14ac:dyDescent="0.2">
      <c r="A54" s="78" t="s">
        <v>86</v>
      </c>
      <c r="B54">
        <v>0.12</v>
      </c>
      <c r="H54" t="s">
        <v>498</v>
      </c>
      <c r="I54">
        <v>27</v>
      </c>
      <c r="J54" s="20">
        <f t="shared" si="0"/>
        <v>15.697674418604652</v>
      </c>
    </row>
    <row r="55" spans="1:10" x14ac:dyDescent="0.2">
      <c r="A55" s="78" t="s">
        <v>34</v>
      </c>
      <c r="B55" t="s">
        <v>355</v>
      </c>
      <c r="I55">
        <f>SUM(I51:I54)</f>
        <v>172</v>
      </c>
      <c r="J55">
        <f>SUM(J51:J54)</f>
        <v>100</v>
      </c>
    </row>
    <row r="56" spans="1:10" x14ac:dyDescent="0.2">
      <c r="A56" s="78" t="s">
        <v>87</v>
      </c>
    </row>
    <row r="57" spans="1:10" x14ac:dyDescent="0.2">
      <c r="A57" s="22" t="s">
        <v>105</v>
      </c>
    </row>
    <row r="58" spans="1:10" x14ac:dyDescent="0.2">
      <c r="A58" s="22"/>
    </row>
    <row r="59" spans="1:10" ht="15" x14ac:dyDescent="0.25">
      <c r="A59" s="48"/>
    </row>
    <row r="60" spans="1:10" ht="15" x14ac:dyDescent="0.25">
      <c r="A60" s="48" t="s">
        <v>106</v>
      </c>
    </row>
    <row r="61" spans="1:10" x14ac:dyDescent="0.2">
      <c r="A61" s="67" t="s">
        <v>107</v>
      </c>
      <c r="B61" t="s">
        <v>407</v>
      </c>
    </row>
    <row r="62" spans="1:10" x14ac:dyDescent="0.2">
      <c r="A62" s="22" t="s">
        <v>406</v>
      </c>
    </row>
    <row r="63" spans="1:10" x14ac:dyDescent="0.2">
      <c r="A63" s="22" t="s">
        <v>405</v>
      </c>
    </row>
    <row r="64" spans="1:10" x14ac:dyDescent="0.2">
      <c r="A64" s="67" t="s">
        <v>70</v>
      </c>
    </row>
    <row r="65" spans="1:7" x14ac:dyDescent="0.2">
      <c r="A65" s="22" t="s">
        <v>406</v>
      </c>
      <c r="B65">
        <v>423</v>
      </c>
      <c r="D65" s="37" t="str">
        <f>HYPERLINK(Path&amp;"Lukacova, Woltosz, Bolger - 2009 - Prediction of modified release pharmacokinetics and pharmacodynamics from in vitro, immediate release.pdf", "Lukacova2009")</f>
        <v>Lukacova2009</v>
      </c>
      <c r="E65" t="s">
        <v>425</v>
      </c>
      <c r="G65" s="37" t="str">
        <f>HYPERLINK(Path&amp;"clpt201396a-Blake2013.pdf", "Blake2013")</f>
        <v>Blake2013</v>
      </c>
    </row>
    <row r="66" spans="1:7" x14ac:dyDescent="0.2">
      <c r="A66" s="22" t="s">
        <v>405</v>
      </c>
      <c r="B66">
        <v>26</v>
      </c>
      <c r="D66" s="37" t="str">
        <f>HYPERLINK(Path&amp;"Lukacova, Woltosz, Bolger - 2009 - Prediction of modified release pharmacokinetics and pharmacodynamics from in vitro, immediate release.pdf", "Lukacova2009")</f>
        <v>Lukacova2009</v>
      </c>
      <c r="E66" t="s">
        <v>427</v>
      </c>
    </row>
    <row r="67" spans="1:7" x14ac:dyDescent="0.2">
      <c r="A67" s="22"/>
      <c r="D67" s="37"/>
    </row>
    <row r="68" spans="1:7" x14ac:dyDescent="0.2">
      <c r="A68" s="22"/>
      <c r="D68" s="37"/>
    </row>
    <row r="69" spans="1:7" x14ac:dyDescent="0.2">
      <c r="A69" s="67"/>
    </row>
    <row r="70" spans="1:7" ht="15" x14ac:dyDescent="0.25">
      <c r="A70" s="48" t="s">
        <v>108</v>
      </c>
    </row>
    <row r="71" spans="1:7" x14ac:dyDescent="0.2">
      <c r="A71" s="67" t="s">
        <v>109</v>
      </c>
    </row>
    <row r="72" spans="1:7" x14ac:dyDescent="0.2">
      <c r="A72" s="22" t="s">
        <v>111</v>
      </c>
    </row>
    <row r="73" spans="1:7" x14ac:dyDescent="0.2">
      <c r="A73" s="22" t="s">
        <v>112</v>
      </c>
    </row>
    <row r="74" spans="1:7" x14ac:dyDescent="0.2">
      <c r="A74" s="22" t="s">
        <v>113</v>
      </c>
    </row>
    <row r="75" spans="1:7" x14ac:dyDescent="0.2">
      <c r="A75" s="22" t="s">
        <v>114</v>
      </c>
    </row>
    <row r="76" spans="1:7" x14ac:dyDescent="0.2">
      <c r="A76" s="67" t="s">
        <v>110</v>
      </c>
    </row>
    <row r="77" spans="1:7" x14ac:dyDescent="0.2">
      <c r="A77" s="22" t="s">
        <v>111</v>
      </c>
    </row>
    <row r="78" spans="1:7" x14ac:dyDescent="0.2">
      <c r="A78" s="22" t="s">
        <v>112</v>
      </c>
    </row>
    <row r="79" spans="1:7" x14ac:dyDescent="0.2">
      <c r="A79" s="22" t="s">
        <v>113</v>
      </c>
    </row>
    <row r="80" spans="1:7" x14ac:dyDescent="0.2">
      <c r="A80" s="22" t="s">
        <v>114</v>
      </c>
    </row>
    <row r="81" spans="1:4" x14ac:dyDescent="0.2">
      <c r="A81" s="22"/>
    </row>
    <row r="82" spans="1:4" ht="15" x14ac:dyDescent="0.25">
      <c r="A82" s="1" t="s">
        <v>141</v>
      </c>
    </row>
    <row r="83" spans="1:4" x14ac:dyDescent="0.2">
      <c r="A83" s="22"/>
    </row>
    <row r="84" spans="1:4" x14ac:dyDescent="0.2">
      <c r="A84" s="22" t="s">
        <v>350</v>
      </c>
      <c r="B84" t="s">
        <v>351</v>
      </c>
    </row>
    <row r="85" spans="1:4" x14ac:dyDescent="0.2">
      <c r="A85" s="22" t="s">
        <v>357</v>
      </c>
      <c r="B85" s="81" t="s">
        <v>358</v>
      </c>
    </row>
    <row r="86" spans="1:4" x14ac:dyDescent="0.2">
      <c r="A86" s="22"/>
    </row>
    <row r="87" spans="1:4" x14ac:dyDescent="0.2">
      <c r="A87" s="22"/>
    </row>
    <row r="88" spans="1:4" x14ac:dyDescent="0.2">
      <c r="A88" s="22"/>
    </row>
    <row r="89" spans="1:4" x14ac:dyDescent="0.2">
      <c r="A89" s="22" t="s">
        <v>426</v>
      </c>
    </row>
    <row r="90" spans="1:4" x14ac:dyDescent="0.2">
      <c r="A90" s="22"/>
    </row>
    <row r="91" spans="1:4" x14ac:dyDescent="0.2">
      <c r="A91" s="22" t="s">
        <v>635</v>
      </c>
      <c r="B91" t="s">
        <v>877</v>
      </c>
      <c r="D91" t="s">
        <v>634</v>
      </c>
    </row>
    <row r="92" spans="1:4" x14ac:dyDescent="0.2">
      <c r="A92" s="22"/>
    </row>
    <row r="93" spans="1:4" x14ac:dyDescent="0.2">
      <c r="A93" s="22"/>
    </row>
    <row r="94" spans="1:4" x14ac:dyDescent="0.2">
      <c r="A94" s="22"/>
    </row>
    <row r="95" spans="1:4" x14ac:dyDescent="0.2">
      <c r="A95" s="22"/>
    </row>
    <row r="96" spans="1:4" x14ac:dyDescent="0.2">
      <c r="A96" s="22"/>
    </row>
    <row r="97" spans="1:1" x14ac:dyDescent="0.2">
      <c r="A97" s="22"/>
    </row>
    <row r="98" spans="1:1" x14ac:dyDescent="0.2">
      <c r="A98" s="22"/>
    </row>
    <row r="99" spans="1:1" ht="15" x14ac:dyDescent="0.25">
      <c r="A99" s="48"/>
    </row>
    <row r="100" spans="1:1" x14ac:dyDescent="0.2">
      <c r="A100" s="22"/>
    </row>
    <row r="101" spans="1:1" x14ac:dyDescent="0.2">
      <c r="A101" s="22"/>
    </row>
    <row r="102" spans="1:1" x14ac:dyDescent="0.2">
      <c r="A102" s="22"/>
    </row>
    <row r="103" spans="1:1" x14ac:dyDescent="0.2">
      <c r="A103" s="22"/>
    </row>
    <row r="104" spans="1:1" x14ac:dyDescent="0.2">
      <c r="A104" s="22"/>
    </row>
    <row r="105" spans="1:1" x14ac:dyDescent="0.2">
      <c r="A105" s="22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332"/>
  <sheetViews>
    <sheetView zoomScale="104" zoomScaleNormal="104" workbookViewId="0">
      <pane xSplit="1" topLeftCell="B1" activePane="topRight" state="frozen"/>
      <selection activeCell="A7" sqref="A7"/>
      <selection pane="topRight" activeCell="N9" sqref="N9"/>
    </sheetView>
  </sheetViews>
  <sheetFormatPr defaultRowHeight="14.25" x14ac:dyDescent="0.2"/>
  <cols>
    <col min="1" max="1" width="18.25" customWidth="1"/>
    <col min="2" max="2" width="10.125" customWidth="1"/>
  </cols>
  <sheetData>
    <row r="1" spans="1:82" ht="15" x14ac:dyDescent="0.25">
      <c r="A1" s="3" t="s">
        <v>32</v>
      </c>
    </row>
    <row r="3" spans="1:82" ht="15" x14ac:dyDescent="0.2">
      <c r="A3" s="58" t="s">
        <v>35</v>
      </c>
      <c r="B3" s="37" t="str">
        <f>HYPERLINK(Path&amp;"1-s2.0-S0168365915301255-main-Soederlind2015-metoprolol-IntelliCap.pdf", "Söderlind2015")</f>
        <v>Söderlind2015</v>
      </c>
      <c r="F3" s="15"/>
      <c r="K3" s="15"/>
      <c r="Z3" s="37" t="str">
        <f>HYPERLINK(Path&amp;"art_10.1023_A_1011988601696-Eddington1998-metoprolol.pdf", "Eddingtion1998")</f>
        <v>Eddingtion1998</v>
      </c>
      <c r="BV3" s="37" t="str">
        <f>HYPERLINK(Path&amp;"Al-Saidan_Pharmacokinetic-evaluation-of-guar-gum-based-three-layer-matrix-tablets-for-oral-controlled-delivery-of-highly-soluble-metoprolol-tartrate-as-a-model-drug_2004.pdf", "Al_Saidan2004")</f>
        <v>Al_Saidan2004</v>
      </c>
      <c r="BZ3" s="37" t="str">
        <f>HYPERLINK(Path&amp;"art_10.1007_BF00578405-Sandberg1988-metoprolol.pdf", "Sandberg1988")</f>
        <v>Sandberg1988</v>
      </c>
    </row>
    <row r="4" spans="1:82" ht="15" x14ac:dyDescent="0.25">
      <c r="A4" s="59" t="s">
        <v>117</v>
      </c>
      <c r="B4" s="37"/>
      <c r="F4" s="1"/>
      <c r="G4" s="17"/>
      <c r="K4" s="1"/>
      <c r="L4" s="17"/>
    </row>
    <row r="5" spans="1:82" ht="15" x14ac:dyDescent="0.25">
      <c r="A5" s="58" t="s">
        <v>118</v>
      </c>
      <c r="B5" s="2" t="s">
        <v>848</v>
      </c>
      <c r="F5" s="13"/>
      <c r="G5" s="17"/>
      <c r="K5" s="13"/>
      <c r="L5" s="17"/>
    </row>
    <row r="6" spans="1:82" ht="15" x14ac:dyDescent="0.25">
      <c r="A6" s="59" t="s">
        <v>119</v>
      </c>
      <c r="B6" s="17"/>
      <c r="F6" s="13"/>
      <c r="G6" s="17"/>
      <c r="K6" s="13"/>
      <c r="L6" s="17"/>
    </row>
    <row r="7" spans="1:82" ht="15" x14ac:dyDescent="0.25">
      <c r="A7" s="58" t="s">
        <v>120</v>
      </c>
      <c r="F7" s="13"/>
      <c r="K7" s="13"/>
      <c r="BZ7" t="s">
        <v>679</v>
      </c>
    </row>
    <row r="8" spans="1:82" ht="15" x14ac:dyDescent="0.2">
      <c r="A8" s="58"/>
      <c r="B8" s="10" t="s">
        <v>851</v>
      </c>
      <c r="F8" s="10" t="s">
        <v>852</v>
      </c>
      <c r="G8" s="10"/>
      <c r="J8" s="10" t="s">
        <v>853</v>
      </c>
      <c r="K8" s="15"/>
      <c r="L8" s="10"/>
      <c r="Z8" t="s">
        <v>547</v>
      </c>
      <c r="BV8" t="s">
        <v>341</v>
      </c>
      <c r="BZ8" t="s">
        <v>657</v>
      </c>
    </row>
    <row r="9" spans="1:82" ht="15" x14ac:dyDescent="0.25">
      <c r="A9" s="52" t="s">
        <v>11</v>
      </c>
      <c r="B9" s="305" t="s">
        <v>790</v>
      </c>
      <c r="C9" s="83"/>
      <c r="D9" s="98"/>
      <c r="E9" s="98"/>
      <c r="F9" s="305" t="s">
        <v>790</v>
      </c>
      <c r="G9" s="98"/>
      <c r="H9" s="98"/>
      <c r="I9" s="98"/>
      <c r="J9" s="305" t="s">
        <v>790</v>
      </c>
      <c r="K9" s="83"/>
      <c r="L9" s="83"/>
      <c r="M9" s="98"/>
      <c r="N9" s="305" t="s">
        <v>790</v>
      </c>
      <c r="O9" s="98"/>
      <c r="P9" s="98"/>
      <c r="Q9" s="98"/>
      <c r="R9" s="98"/>
      <c r="S9" s="98"/>
      <c r="T9" s="98"/>
      <c r="U9" s="98"/>
      <c r="V9" s="98"/>
      <c r="X9" s="98"/>
      <c r="Y9" s="98"/>
      <c r="Z9" s="8" t="s">
        <v>489</v>
      </c>
      <c r="AA9" s="12"/>
      <c r="AB9" s="32"/>
      <c r="AC9" s="32"/>
      <c r="AD9" s="8" t="s">
        <v>489</v>
      </c>
      <c r="AE9" s="12"/>
      <c r="AF9" s="32"/>
      <c r="AG9" s="32"/>
      <c r="AH9" s="8" t="s">
        <v>489</v>
      </c>
      <c r="AI9" s="12"/>
      <c r="AJ9" s="98"/>
      <c r="AK9" s="98"/>
      <c r="AL9" s="8" t="s">
        <v>489</v>
      </c>
      <c r="AM9" s="12"/>
      <c r="AN9" s="32"/>
      <c r="AO9" s="32"/>
      <c r="AP9" s="8" t="s">
        <v>489</v>
      </c>
      <c r="AQ9" s="12"/>
      <c r="AR9" s="32"/>
      <c r="AS9" s="32"/>
      <c r="AT9" s="8" t="s">
        <v>489</v>
      </c>
      <c r="AX9" s="8" t="s">
        <v>489</v>
      </c>
      <c r="AY9" s="12"/>
      <c r="AZ9" s="32"/>
      <c r="BA9" s="32"/>
      <c r="BB9" s="8" t="s">
        <v>489</v>
      </c>
      <c r="BC9" s="12"/>
      <c r="BD9" s="32"/>
      <c r="BE9" s="32"/>
      <c r="BF9" s="8" t="s">
        <v>489</v>
      </c>
      <c r="BJ9" s="8" t="s">
        <v>489</v>
      </c>
      <c r="BK9" s="12"/>
      <c r="BL9" s="32"/>
      <c r="BM9" s="32"/>
      <c r="BN9" s="8" t="s">
        <v>489</v>
      </c>
      <c r="BO9" s="12"/>
      <c r="BP9" s="32"/>
      <c r="BQ9" s="32"/>
      <c r="BR9" s="8" t="s">
        <v>489</v>
      </c>
      <c r="BV9" s="8" t="s">
        <v>448</v>
      </c>
      <c r="BZ9" s="8" t="s">
        <v>656</v>
      </c>
      <c r="CD9" s="8" t="s">
        <v>386</v>
      </c>
    </row>
    <row r="10" spans="1:82" ht="15" x14ac:dyDescent="0.25">
      <c r="A10" s="52" t="s">
        <v>45</v>
      </c>
      <c r="B10" s="106" t="s">
        <v>365</v>
      </c>
      <c r="C10" s="83"/>
      <c r="D10" s="98"/>
      <c r="E10" s="98"/>
      <c r="F10" s="106" t="s">
        <v>372</v>
      </c>
      <c r="G10" s="98"/>
      <c r="H10" s="98"/>
      <c r="I10" s="98"/>
      <c r="J10" s="106" t="s">
        <v>373</v>
      </c>
      <c r="K10" s="83"/>
      <c r="L10" s="83"/>
      <c r="M10" s="98"/>
      <c r="N10" s="106" t="s">
        <v>366</v>
      </c>
      <c r="O10" s="98"/>
      <c r="P10" s="98"/>
      <c r="Q10" s="98"/>
      <c r="R10" s="98"/>
      <c r="S10" s="98"/>
      <c r="T10" s="98"/>
      <c r="U10" s="98"/>
      <c r="V10" s="98"/>
      <c r="X10" s="98"/>
      <c r="Y10" s="98"/>
      <c r="Z10" s="28" t="s">
        <v>548</v>
      </c>
      <c r="AD10" s="28" t="s">
        <v>548</v>
      </c>
      <c r="AH10" s="28" t="s">
        <v>548</v>
      </c>
      <c r="AJ10" s="98"/>
      <c r="AK10" s="98"/>
      <c r="AL10" s="28" t="s">
        <v>550</v>
      </c>
      <c r="AP10" s="28" t="s">
        <v>550</v>
      </c>
      <c r="AT10" s="28" t="s">
        <v>550</v>
      </c>
      <c r="AX10" s="28" t="s">
        <v>551</v>
      </c>
      <c r="BB10" s="28" t="s">
        <v>551</v>
      </c>
      <c r="BF10" s="28" t="s">
        <v>551</v>
      </c>
      <c r="BJ10" s="28" t="s">
        <v>552</v>
      </c>
      <c r="BN10" s="28" t="s">
        <v>552</v>
      </c>
      <c r="BR10" s="28" t="s">
        <v>552</v>
      </c>
      <c r="BV10" s="28" t="s">
        <v>521</v>
      </c>
      <c r="BZ10" s="28" t="s">
        <v>680</v>
      </c>
    </row>
    <row r="11" spans="1:82" ht="15" x14ac:dyDescent="0.25">
      <c r="A11" s="48" t="s">
        <v>0</v>
      </c>
      <c r="B11" s="105" t="s">
        <v>352</v>
      </c>
      <c r="C11" s="98"/>
      <c r="D11" s="98"/>
      <c r="E11" s="98"/>
      <c r="F11" s="105" t="s">
        <v>352</v>
      </c>
      <c r="G11" s="98"/>
      <c r="H11" s="98"/>
      <c r="I11" s="98"/>
      <c r="J11" s="105" t="s">
        <v>352</v>
      </c>
      <c r="K11" s="98"/>
      <c r="L11" s="98"/>
      <c r="M11" s="98"/>
      <c r="N11" s="105" t="s">
        <v>352</v>
      </c>
      <c r="O11" s="98"/>
      <c r="P11" s="98"/>
      <c r="Q11" s="98"/>
      <c r="R11" s="98"/>
      <c r="S11" s="98"/>
      <c r="T11" s="98"/>
      <c r="U11" s="98"/>
      <c r="V11" s="98"/>
      <c r="X11" s="98"/>
      <c r="Y11" s="98"/>
      <c r="Z11" s="38" t="s">
        <v>352</v>
      </c>
      <c r="AD11" s="38" t="s">
        <v>352</v>
      </c>
      <c r="AH11" s="38" t="s">
        <v>352</v>
      </c>
      <c r="AJ11" s="98"/>
      <c r="AK11" s="98"/>
      <c r="AL11" s="38" t="s">
        <v>352</v>
      </c>
      <c r="AP11" s="38" t="s">
        <v>352</v>
      </c>
      <c r="AT11" s="38" t="s">
        <v>352</v>
      </c>
      <c r="AX11" s="38" t="s">
        <v>352</v>
      </c>
      <c r="BB11" s="38" t="s">
        <v>352</v>
      </c>
      <c r="BF11" s="38" t="s">
        <v>352</v>
      </c>
      <c r="BJ11" s="38" t="s">
        <v>352</v>
      </c>
      <c r="BN11" s="38" t="s">
        <v>352</v>
      </c>
      <c r="BR11" s="38" t="s">
        <v>352</v>
      </c>
      <c r="BV11" s="38" t="s">
        <v>352</v>
      </c>
      <c r="BZ11" s="38" t="s">
        <v>352</v>
      </c>
    </row>
    <row r="12" spans="1:82" ht="15" x14ac:dyDescent="0.25">
      <c r="A12" s="13" t="s">
        <v>10</v>
      </c>
      <c r="B12" s="105"/>
      <c r="C12" s="98"/>
      <c r="D12" s="65"/>
      <c r="E12" s="65"/>
      <c r="F12" s="105"/>
      <c r="G12" s="65"/>
      <c r="H12" s="65"/>
      <c r="I12" s="65"/>
      <c r="J12" s="105"/>
      <c r="K12" s="98"/>
      <c r="L12" s="98"/>
      <c r="M12" s="65"/>
      <c r="N12" s="105"/>
      <c r="O12" s="65"/>
      <c r="P12" s="65"/>
      <c r="Q12" s="65"/>
      <c r="R12" s="65"/>
      <c r="S12" s="65"/>
      <c r="T12" s="65"/>
      <c r="U12" s="65"/>
      <c r="V12" s="65"/>
      <c r="X12" s="65"/>
      <c r="Y12" s="65"/>
      <c r="Z12" s="38"/>
      <c r="AD12" s="38"/>
      <c r="AH12" s="38"/>
      <c r="AJ12" s="65"/>
      <c r="AK12" s="65"/>
      <c r="AL12" s="38"/>
      <c r="AP12" s="38"/>
      <c r="AT12" s="38"/>
      <c r="AX12" s="38"/>
      <c r="BB12" s="38"/>
      <c r="BF12" s="38"/>
      <c r="BJ12" s="38"/>
      <c r="BN12" s="38"/>
      <c r="BR12" s="38"/>
      <c r="BV12" s="38"/>
      <c r="BZ12" s="38"/>
    </row>
    <row r="13" spans="1:82" ht="15" x14ac:dyDescent="0.25">
      <c r="A13" s="13" t="s">
        <v>9</v>
      </c>
      <c r="B13" s="109"/>
      <c r="C13" s="65"/>
      <c r="D13" s="15"/>
      <c r="E13" s="15"/>
      <c r="F13" s="109"/>
      <c r="G13" s="15"/>
      <c r="H13" s="15"/>
      <c r="I13" s="15"/>
      <c r="J13" s="109"/>
      <c r="K13" s="65"/>
      <c r="L13" s="65"/>
      <c r="M13" s="15"/>
      <c r="N13" s="109"/>
      <c r="O13" s="15"/>
      <c r="P13" s="15"/>
      <c r="Q13" s="15"/>
      <c r="R13" s="15"/>
      <c r="S13" s="15"/>
      <c r="T13" s="15"/>
      <c r="U13" s="15"/>
      <c r="V13" s="15"/>
      <c r="X13" s="15"/>
      <c r="Y13" s="15"/>
      <c r="Z13" s="39"/>
      <c r="AD13" s="39"/>
      <c r="AH13" s="39"/>
      <c r="AJ13" s="15"/>
      <c r="AK13" s="15"/>
      <c r="AL13" s="39"/>
      <c r="AP13" s="39"/>
      <c r="AT13" s="39"/>
      <c r="AX13" s="39"/>
      <c r="BB13" s="39"/>
      <c r="BF13" s="39"/>
      <c r="BJ13" s="39"/>
      <c r="BN13" s="39"/>
      <c r="BR13" s="39"/>
      <c r="BV13" s="39"/>
      <c r="BZ13" s="39"/>
    </row>
    <row r="14" spans="1:82" ht="15" x14ac:dyDescent="0.25">
      <c r="A14" s="13" t="s">
        <v>25</v>
      </c>
      <c r="B14" s="16" t="s">
        <v>367</v>
      </c>
      <c r="C14" s="15"/>
      <c r="D14" s="65"/>
      <c r="E14" s="65"/>
      <c r="F14" s="16" t="s">
        <v>367</v>
      </c>
      <c r="G14" s="65"/>
      <c r="H14" s="65"/>
      <c r="I14" s="65"/>
      <c r="J14" s="16" t="s">
        <v>367</v>
      </c>
      <c r="K14" s="15"/>
      <c r="L14" s="15"/>
      <c r="M14" s="65"/>
      <c r="N14" s="16" t="s">
        <v>367</v>
      </c>
      <c r="O14" s="65"/>
      <c r="P14" s="65"/>
      <c r="Q14" s="65"/>
      <c r="R14" s="65"/>
      <c r="S14" s="65"/>
      <c r="T14" s="65"/>
      <c r="U14" s="65"/>
      <c r="V14" s="65"/>
      <c r="X14" s="65"/>
      <c r="Y14" s="65"/>
      <c r="Z14" s="40" t="s">
        <v>367</v>
      </c>
      <c r="AA14" s="1"/>
      <c r="AB14" s="1"/>
      <c r="AC14" s="1"/>
      <c r="AD14" s="40" t="s">
        <v>367</v>
      </c>
      <c r="AE14" s="1"/>
      <c r="AF14" s="1"/>
      <c r="AG14" s="1"/>
      <c r="AH14" s="40" t="s">
        <v>367</v>
      </c>
      <c r="AI14" s="1"/>
      <c r="AJ14" s="65"/>
      <c r="AK14" s="65"/>
      <c r="AL14" s="40" t="s">
        <v>367</v>
      </c>
      <c r="AM14" s="1"/>
      <c r="AN14" s="1"/>
      <c r="AO14" s="1"/>
      <c r="AP14" s="40" t="s">
        <v>367</v>
      </c>
      <c r="AQ14" s="1"/>
      <c r="AR14" s="1"/>
      <c r="AS14" s="1"/>
      <c r="AT14" s="40" t="s">
        <v>367</v>
      </c>
      <c r="AX14" s="40" t="s">
        <v>367</v>
      </c>
      <c r="AY14" s="1"/>
      <c r="AZ14" s="1"/>
      <c r="BA14" s="1"/>
      <c r="BB14" s="40" t="s">
        <v>367</v>
      </c>
      <c r="BC14" s="1"/>
      <c r="BD14" s="1"/>
      <c r="BE14" s="1"/>
      <c r="BF14" s="40" t="s">
        <v>367</v>
      </c>
      <c r="BJ14" s="40" t="s">
        <v>367</v>
      </c>
      <c r="BK14" s="1"/>
      <c r="BL14" s="1"/>
      <c r="BM14" s="1"/>
      <c r="BN14" s="40" t="s">
        <v>367</v>
      </c>
      <c r="BO14" s="1"/>
      <c r="BP14" s="1"/>
      <c r="BQ14" s="1"/>
      <c r="BR14" s="40" t="s">
        <v>367</v>
      </c>
      <c r="BV14" s="40" t="s">
        <v>367</v>
      </c>
      <c r="BZ14" s="40" t="s">
        <v>367</v>
      </c>
    </row>
    <row r="15" spans="1:82" ht="15" x14ac:dyDescent="0.25">
      <c r="A15" s="48" t="s">
        <v>2</v>
      </c>
      <c r="B15" s="109">
        <v>50</v>
      </c>
      <c r="C15" s="65"/>
      <c r="D15" s="110"/>
      <c r="E15" s="111"/>
      <c r="F15" s="109">
        <v>50</v>
      </c>
      <c r="G15" s="111"/>
      <c r="H15" s="111"/>
      <c r="I15" s="111"/>
      <c r="J15" s="109">
        <v>50</v>
      </c>
      <c r="K15" s="65"/>
      <c r="L15" s="65"/>
      <c r="M15" s="110"/>
      <c r="N15" s="109">
        <v>50</v>
      </c>
      <c r="O15" s="111"/>
      <c r="P15" s="111"/>
      <c r="Q15" s="111"/>
      <c r="R15" s="111"/>
      <c r="S15" s="110"/>
      <c r="T15" s="111"/>
      <c r="U15" s="111"/>
      <c r="V15" s="110"/>
      <c r="X15" s="111"/>
      <c r="Y15" s="110"/>
      <c r="Z15" s="39">
        <v>100</v>
      </c>
      <c r="AD15" s="39">
        <v>100</v>
      </c>
      <c r="AH15" s="39">
        <v>100</v>
      </c>
      <c r="AJ15" s="111"/>
      <c r="AK15" s="111"/>
      <c r="AL15" s="39">
        <v>100</v>
      </c>
      <c r="AP15" s="39">
        <v>100</v>
      </c>
      <c r="AT15" s="39">
        <v>100</v>
      </c>
      <c r="AX15" s="39">
        <v>100</v>
      </c>
      <c r="BB15" s="39">
        <v>100</v>
      </c>
      <c r="BF15" s="39">
        <v>100</v>
      </c>
      <c r="BJ15" s="39">
        <v>100</v>
      </c>
      <c r="BN15" s="39">
        <v>100</v>
      </c>
      <c r="BR15" s="39">
        <v>100</v>
      </c>
      <c r="BV15" s="39">
        <v>100</v>
      </c>
      <c r="BZ15" s="39">
        <v>100</v>
      </c>
    </row>
    <row r="16" spans="1:82" ht="15" x14ac:dyDescent="0.25">
      <c r="A16" s="13" t="s">
        <v>26</v>
      </c>
      <c r="B16" s="114" t="s">
        <v>335</v>
      </c>
      <c r="C16" s="110"/>
      <c r="D16" s="65"/>
      <c r="E16" s="65"/>
      <c r="F16" s="114" t="s">
        <v>335</v>
      </c>
      <c r="G16" s="65"/>
      <c r="H16" s="65"/>
      <c r="I16" s="65"/>
      <c r="J16" s="114" t="s">
        <v>335</v>
      </c>
      <c r="K16" s="110"/>
      <c r="L16" s="110"/>
      <c r="M16" s="65"/>
      <c r="N16" s="114" t="s">
        <v>335</v>
      </c>
      <c r="O16" s="65"/>
      <c r="P16" s="65"/>
      <c r="Q16" s="65"/>
      <c r="R16" s="65"/>
      <c r="S16" s="65"/>
      <c r="T16" s="65"/>
      <c r="U16" s="65"/>
      <c r="V16" s="65"/>
      <c r="X16" s="65"/>
      <c r="Y16" s="65"/>
      <c r="Z16" s="41" t="s">
        <v>335</v>
      </c>
      <c r="AD16" s="41" t="s">
        <v>335</v>
      </c>
      <c r="AH16" s="41" t="s">
        <v>335</v>
      </c>
      <c r="AJ16" s="65"/>
      <c r="AK16" s="65"/>
      <c r="AL16" s="41" t="s">
        <v>335</v>
      </c>
      <c r="AP16" s="41" t="s">
        <v>335</v>
      </c>
      <c r="AT16" s="41" t="s">
        <v>335</v>
      </c>
      <c r="AX16" s="41" t="s">
        <v>335</v>
      </c>
      <c r="BB16" s="41" t="s">
        <v>335</v>
      </c>
      <c r="BF16" s="41" t="s">
        <v>335</v>
      </c>
      <c r="BJ16" s="41" t="s">
        <v>335</v>
      </c>
      <c r="BN16" s="41" t="s">
        <v>335</v>
      </c>
      <c r="BR16" s="41" t="s">
        <v>335</v>
      </c>
      <c r="BV16" s="41" t="s">
        <v>335</v>
      </c>
      <c r="BZ16" s="41" t="s">
        <v>335</v>
      </c>
    </row>
    <row r="17" spans="1:78" ht="14.25" customHeight="1" x14ac:dyDescent="0.25">
      <c r="A17" s="48" t="s">
        <v>14</v>
      </c>
      <c r="B17" s="115" t="s">
        <v>368</v>
      </c>
      <c r="C17" s="116"/>
      <c r="D17" s="65"/>
      <c r="E17" s="65"/>
      <c r="F17" s="115" t="s">
        <v>368</v>
      </c>
      <c r="G17" s="65"/>
      <c r="H17" s="65"/>
      <c r="I17" s="65"/>
      <c r="J17" s="115" t="s">
        <v>368</v>
      </c>
      <c r="K17" s="116"/>
      <c r="L17" s="116"/>
      <c r="M17" s="65"/>
      <c r="N17" s="115"/>
      <c r="O17" s="65"/>
      <c r="P17" s="65"/>
      <c r="Q17" s="65"/>
      <c r="R17" s="65"/>
      <c r="S17" s="65"/>
      <c r="T17" s="65"/>
      <c r="U17" s="65"/>
      <c r="V17" s="65"/>
      <c r="X17" s="65"/>
      <c r="Y17" s="65"/>
      <c r="AJ17" s="65"/>
      <c r="AK17" s="65"/>
      <c r="BV17" s="42"/>
      <c r="BZ17" s="42"/>
    </row>
    <row r="18" spans="1:78" ht="15" x14ac:dyDescent="0.25">
      <c r="A18" s="52" t="s">
        <v>6</v>
      </c>
      <c r="B18" s="117" t="s">
        <v>369</v>
      </c>
      <c r="C18" s="83"/>
      <c r="D18" s="118"/>
      <c r="E18" s="118"/>
      <c r="F18" s="117" t="s">
        <v>397</v>
      </c>
      <c r="G18" s="118"/>
      <c r="H18" s="118"/>
      <c r="I18" s="118"/>
      <c r="J18" s="117" t="s">
        <v>398</v>
      </c>
      <c r="K18" s="83"/>
      <c r="L18" s="83"/>
      <c r="M18" s="118"/>
      <c r="N18" s="117" t="s">
        <v>337</v>
      </c>
      <c r="O18" s="118"/>
      <c r="P18" s="118"/>
      <c r="Q18" s="118"/>
      <c r="R18" s="118"/>
      <c r="S18" s="118"/>
      <c r="T18" s="118"/>
      <c r="U18" s="118"/>
      <c r="V18" s="118"/>
      <c r="X18" s="118"/>
      <c r="Y18" s="118"/>
      <c r="Z18" s="86" t="s">
        <v>487</v>
      </c>
      <c r="AD18" s="86" t="s">
        <v>491</v>
      </c>
      <c r="AH18" s="86" t="s">
        <v>492</v>
      </c>
      <c r="AJ18" s="118"/>
      <c r="AK18" s="118"/>
      <c r="AL18" s="86" t="s">
        <v>487</v>
      </c>
      <c r="AP18" s="86" t="s">
        <v>491</v>
      </c>
      <c r="AT18" s="86" t="s">
        <v>492</v>
      </c>
      <c r="AX18" s="86" t="s">
        <v>487</v>
      </c>
      <c r="BB18" s="86" t="s">
        <v>491</v>
      </c>
      <c r="BF18" s="86" t="s">
        <v>492</v>
      </c>
      <c r="BJ18" s="86" t="s">
        <v>487</v>
      </c>
      <c r="BN18" s="86" t="s">
        <v>491</v>
      </c>
      <c r="BR18" s="86" t="s">
        <v>492</v>
      </c>
      <c r="BV18" s="86" t="s">
        <v>449</v>
      </c>
      <c r="BZ18" s="86" t="s">
        <v>449</v>
      </c>
    </row>
    <row r="19" spans="1:78" ht="15" x14ac:dyDescent="0.25">
      <c r="A19" s="52" t="s">
        <v>4</v>
      </c>
      <c r="B19" s="119" t="s">
        <v>370</v>
      </c>
      <c r="C19" s="119"/>
      <c r="D19" s="118"/>
      <c r="E19" s="118"/>
      <c r="F19" s="119" t="s">
        <v>370</v>
      </c>
      <c r="G19" s="118"/>
      <c r="H19" s="118"/>
      <c r="I19" s="118"/>
      <c r="J19" s="119" t="s">
        <v>370</v>
      </c>
      <c r="K19" s="119"/>
      <c r="L19" s="119"/>
      <c r="M19" s="118"/>
      <c r="N19" s="119" t="s">
        <v>370</v>
      </c>
      <c r="O19" s="118"/>
      <c r="P19" s="118"/>
      <c r="Q19" s="118"/>
      <c r="R19" s="118"/>
      <c r="S19" s="118"/>
      <c r="T19" s="118"/>
      <c r="U19" s="118"/>
      <c r="V19" s="118"/>
      <c r="X19" s="118"/>
      <c r="Y19" s="118"/>
      <c r="Z19" s="42" t="s">
        <v>486</v>
      </c>
      <c r="AD19" s="42" t="s">
        <v>486</v>
      </c>
      <c r="AH19" s="42" t="s">
        <v>486</v>
      </c>
      <c r="AJ19" s="118"/>
      <c r="AK19" s="118"/>
      <c r="AL19" s="42" t="s">
        <v>486</v>
      </c>
      <c r="AP19" s="42" t="s">
        <v>486</v>
      </c>
      <c r="AT19" s="42" t="s">
        <v>486</v>
      </c>
      <c r="AX19" s="42" t="s">
        <v>486</v>
      </c>
      <c r="BB19" s="42" t="s">
        <v>486</v>
      </c>
      <c r="BF19" s="42" t="s">
        <v>486</v>
      </c>
      <c r="BJ19" s="42" t="s">
        <v>486</v>
      </c>
      <c r="BN19" s="42" t="s">
        <v>486</v>
      </c>
      <c r="BR19" s="42" t="s">
        <v>486</v>
      </c>
      <c r="BV19" s="33" t="s">
        <v>337</v>
      </c>
      <c r="BZ19" s="33" t="s">
        <v>364</v>
      </c>
    </row>
    <row r="20" spans="1:78" ht="15" x14ac:dyDescent="0.25">
      <c r="A20" s="52" t="s">
        <v>27</v>
      </c>
      <c r="B20" s="119">
        <v>240</v>
      </c>
      <c r="C20" s="119"/>
      <c r="D20" s="118"/>
      <c r="E20" s="118"/>
      <c r="F20" s="119">
        <v>240</v>
      </c>
      <c r="G20" s="118"/>
      <c r="H20" s="118"/>
      <c r="I20" s="118"/>
      <c r="J20" s="119">
        <v>240</v>
      </c>
      <c r="K20" s="119"/>
      <c r="L20" s="119"/>
      <c r="M20" s="118"/>
      <c r="N20" s="119">
        <v>240</v>
      </c>
      <c r="O20" s="118"/>
      <c r="P20" s="118"/>
      <c r="Q20" s="118"/>
      <c r="R20" s="118"/>
      <c r="S20" s="118"/>
      <c r="T20" s="118"/>
      <c r="U20" s="118"/>
      <c r="V20" s="118"/>
      <c r="X20" s="118"/>
      <c r="Y20" s="118"/>
      <c r="Z20" s="33"/>
      <c r="AD20" s="33"/>
      <c r="AH20" s="33"/>
      <c r="AJ20" s="118"/>
      <c r="AK20" s="118"/>
      <c r="AL20" s="33"/>
      <c r="AP20" s="33"/>
      <c r="AT20" s="33"/>
      <c r="AX20" s="33"/>
      <c r="BB20" s="33"/>
      <c r="BF20" s="33"/>
      <c r="BJ20" s="33"/>
      <c r="BN20" s="33"/>
      <c r="BR20" s="33"/>
      <c r="BV20" s="33">
        <v>150</v>
      </c>
      <c r="BZ20" s="33"/>
    </row>
    <row r="21" spans="1:78" ht="15" x14ac:dyDescent="0.25">
      <c r="A21" s="40" t="s">
        <v>12</v>
      </c>
      <c r="B21" s="119">
        <v>1</v>
      </c>
      <c r="C21" s="119"/>
      <c r="D21" s="118"/>
      <c r="E21" s="118"/>
      <c r="F21" s="119">
        <v>1</v>
      </c>
      <c r="G21" s="118"/>
      <c r="H21" s="118"/>
      <c r="I21" s="118"/>
      <c r="J21" s="119">
        <v>1</v>
      </c>
      <c r="K21" s="119"/>
      <c r="L21" s="119"/>
      <c r="M21" s="118"/>
      <c r="N21" s="119">
        <v>1</v>
      </c>
      <c r="O21" s="118"/>
      <c r="P21" s="118"/>
      <c r="Q21" s="118"/>
      <c r="R21" s="118"/>
      <c r="S21" s="118"/>
      <c r="T21" s="118"/>
      <c r="U21" s="118"/>
      <c r="V21" s="118"/>
      <c r="X21" s="118"/>
      <c r="Y21" s="118"/>
      <c r="Z21" s="33">
        <v>1</v>
      </c>
      <c r="AD21" s="33">
        <v>1</v>
      </c>
      <c r="AH21" s="33">
        <v>1</v>
      </c>
      <c r="AJ21" s="118"/>
      <c r="AK21" s="118"/>
      <c r="AL21" s="33">
        <v>1</v>
      </c>
      <c r="AP21" s="33">
        <v>1</v>
      </c>
      <c r="AT21" s="33">
        <v>1</v>
      </c>
      <c r="AX21" s="33">
        <v>1</v>
      </c>
      <c r="BB21" s="33">
        <v>1</v>
      </c>
      <c r="BF21" s="33">
        <v>1</v>
      </c>
      <c r="BJ21" s="33">
        <v>1</v>
      </c>
      <c r="BN21" s="33">
        <v>1</v>
      </c>
      <c r="BR21" s="33">
        <v>1</v>
      </c>
      <c r="BV21" s="33">
        <v>1</v>
      </c>
      <c r="BZ21" s="33">
        <v>1</v>
      </c>
    </row>
    <row r="22" spans="1:78" ht="15" x14ac:dyDescent="0.25">
      <c r="A22" s="52" t="s">
        <v>13</v>
      </c>
      <c r="B22" s="83">
        <v>11</v>
      </c>
      <c r="C22" s="119"/>
      <c r="D22" s="118"/>
      <c r="E22" s="118"/>
      <c r="F22" s="83">
        <v>11</v>
      </c>
      <c r="G22" s="118"/>
      <c r="H22" s="118"/>
      <c r="I22" s="118"/>
      <c r="J22" s="83">
        <v>11</v>
      </c>
      <c r="K22" s="119"/>
      <c r="L22" s="119"/>
      <c r="M22" s="118"/>
      <c r="N22" s="83">
        <v>11</v>
      </c>
      <c r="O22" s="118"/>
      <c r="P22" s="118"/>
      <c r="Q22" s="118"/>
      <c r="R22" s="118"/>
      <c r="S22" s="118"/>
      <c r="T22" s="118"/>
      <c r="U22" s="118"/>
      <c r="V22" s="118"/>
      <c r="X22" s="118"/>
      <c r="Y22" s="118"/>
      <c r="Z22">
        <v>7</v>
      </c>
      <c r="AD22">
        <v>7</v>
      </c>
      <c r="AH22">
        <v>7</v>
      </c>
      <c r="AJ22" s="118"/>
      <c r="AK22" s="118"/>
      <c r="AL22">
        <v>7</v>
      </c>
      <c r="AP22">
        <v>7</v>
      </c>
      <c r="AT22">
        <v>7</v>
      </c>
      <c r="AX22">
        <v>7</v>
      </c>
      <c r="BB22">
        <v>7</v>
      </c>
      <c r="BF22">
        <v>7</v>
      </c>
      <c r="BJ22">
        <v>7</v>
      </c>
      <c r="BN22">
        <v>7</v>
      </c>
      <c r="BR22">
        <v>7</v>
      </c>
      <c r="BV22">
        <v>6</v>
      </c>
    </row>
    <row r="23" spans="1:78" ht="15" x14ac:dyDescent="0.25">
      <c r="A23" s="52" t="s">
        <v>151</v>
      </c>
    </row>
    <row r="24" spans="1:78" x14ac:dyDescent="0.2">
      <c r="A24" s="22" t="s">
        <v>152</v>
      </c>
      <c r="B24" t="s">
        <v>481</v>
      </c>
      <c r="Z24" t="s">
        <v>481</v>
      </c>
      <c r="AD24" t="s">
        <v>481</v>
      </c>
      <c r="AH24" t="s">
        <v>481</v>
      </c>
      <c r="AL24" t="s">
        <v>481</v>
      </c>
      <c r="AP24" t="s">
        <v>481</v>
      </c>
      <c r="AT24" t="s">
        <v>481</v>
      </c>
      <c r="AX24" t="s">
        <v>553</v>
      </c>
      <c r="BB24" t="s">
        <v>553</v>
      </c>
      <c r="BF24" t="s">
        <v>553</v>
      </c>
      <c r="BJ24" t="s">
        <v>553</v>
      </c>
      <c r="BN24" t="s">
        <v>553</v>
      </c>
      <c r="BR24" t="s">
        <v>553</v>
      </c>
      <c r="BV24" t="s">
        <v>553</v>
      </c>
      <c r="BZ24" t="s">
        <v>481</v>
      </c>
    </row>
    <row r="25" spans="1:78" x14ac:dyDescent="0.2">
      <c r="A25" s="49" t="s">
        <v>153</v>
      </c>
      <c r="B25">
        <v>50</v>
      </c>
      <c r="Z25">
        <v>50</v>
      </c>
      <c r="AD25">
        <v>50</v>
      </c>
      <c r="AH25">
        <v>50</v>
      </c>
      <c r="AL25">
        <v>50</v>
      </c>
      <c r="AP25">
        <v>50</v>
      </c>
      <c r="AT25">
        <v>50</v>
      </c>
      <c r="AX25">
        <v>100</v>
      </c>
      <c r="BB25">
        <v>100</v>
      </c>
      <c r="BF25">
        <v>100</v>
      </c>
      <c r="BJ25">
        <v>150</v>
      </c>
      <c r="BN25">
        <v>150</v>
      </c>
      <c r="BR25">
        <v>150</v>
      </c>
      <c r="BV25">
        <v>100</v>
      </c>
      <c r="BZ25">
        <v>100</v>
      </c>
    </row>
    <row r="26" spans="1:78" x14ac:dyDescent="0.2">
      <c r="A26" s="49" t="s">
        <v>130</v>
      </c>
      <c r="B26" t="s">
        <v>842</v>
      </c>
      <c r="Z26" t="s">
        <v>549</v>
      </c>
      <c r="AD26" t="s">
        <v>549</v>
      </c>
      <c r="AH26" t="s">
        <v>549</v>
      </c>
      <c r="AL26" t="s">
        <v>554</v>
      </c>
      <c r="AP26" t="s">
        <v>554</v>
      </c>
      <c r="AT26" t="s">
        <v>554</v>
      </c>
      <c r="AX26" t="s">
        <v>554</v>
      </c>
      <c r="BB26" t="s">
        <v>554</v>
      </c>
      <c r="BF26" t="s">
        <v>554</v>
      </c>
      <c r="BJ26" t="s">
        <v>554</v>
      </c>
      <c r="BN26" t="s">
        <v>554</v>
      </c>
      <c r="BR26" t="s">
        <v>554</v>
      </c>
      <c r="BV26" t="s">
        <v>549</v>
      </c>
      <c r="BZ26" t="s">
        <v>677</v>
      </c>
    </row>
    <row r="27" spans="1:78" x14ac:dyDescent="0.2">
      <c r="A27" s="49" t="s">
        <v>154</v>
      </c>
      <c r="B27">
        <v>900</v>
      </c>
      <c r="BV27">
        <v>900</v>
      </c>
      <c r="BZ27">
        <v>500</v>
      </c>
    </row>
    <row r="28" spans="1:78" x14ac:dyDescent="0.2">
      <c r="A28" s="49" t="s">
        <v>558</v>
      </c>
      <c r="BV28">
        <v>2</v>
      </c>
    </row>
    <row r="29" spans="1:78" x14ac:dyDescent="0.2">
      <c r="A29" s="49" t="s">
        <v>557</v>
      </c>
      <c r="BV29" t="s">
        <v>559</v>
      </c>
    </row>
    <row r="30" spans="1:78" x14ac:dyDescent="0.2">
      <c r="A30" s="49" t="s">
        <v>845</v>
      </c>
      <c r="BV30">
        <v>900</v>
      </c>
    </row>
    <row r="31" spans="1:78" x14ac:dyDescent="0.2">
      <c r="A31" s="49" t="s">
        <v>482</v>
      </c>
      <c r="B31" t="s">
        <v>843</v>
      </c>
      <c r="BV31" t="s">
        <v>560</v>
      </c>
      <c r="BZ31" t="s">
        <v>678</v>
      </c>
    </row>
    <row r="32" spans="1:78" x14ac:dyDescent="0.2">
      <c r="A32" s="49" t="s">
        <v>844</v>
      </c>
      <c r="B32">
        <v>6</v>
      </c>
      <c r="F32">
        <v>6</v>
      </c>
      <c r="J32">
        <v>6</v>
      </c>
    </row>
    <row r="33" spans="1:85" x14ac:dyDescent="0.2">
      <c r="B33" s="94" t="s">
        <v>115</v>
      </c>
      <c r="C33" s="96" t="s">
        <v>89</v>
      </c>
      <c r="D33" s="26" t="s">
        <v>146</v>
      </c>
      <c r="E33" s="26" t="s">
        <v>371</v>
      </c>
      <c r="F33" s="94" t="s">
        <v>115</v>
      </c>
      <c r="G33" s="96" t="s">
        <v>89</v>
      </c>
      <c r="H33" s="26" t="s">
        <v>146</v>
      </c>
      <c r="I33" s="26" t="s">
        <v>371</v>
      </c>
      <c r="J33" s="94" t="s">
        <v>115</v>
      </c>
      <c r="K33" s="96" t="s">
        <v>89</v>
      </c>
      <c r="L33" s="26" t="s">
        <v>146</v>
      </c>
      <c r="M33" s="26" t="s">
        <v>371</v>
      </c>
      <c r="N33" s="94" t="s">
        <v>115</v>
      </c>
      <c r="O33" s="96" t="s">
        <v>89</v>
      </c>
      <c r="P33" s="26" t="s">
        <v>146</v>
      </c>
      <c r="Q33" s="26" t="s">
        <v>371</v>
      </c>
      <c r="R33" s="94" t="s">
        <v>115</v>
      </c>
      <c r="S33" s="96" t="s">
        <v>89</v>
      </c>
      <c r="T33" s="26" t="s">
        <v>146</v>
      </c>
      <c r="U33" s="26" t="s">
        <v>371</v>
      </c>
      <c r="V33" s="94" t="s">
        <v>115</v>
      </c>
      <c r="W33" s="96" t="s">
        <v>89</v>
      </c>
      <c r="X33" s="26" t="s">
        <v>146</v>
      </c>
      <c r="Y33" s="26" t="s">
        <v>371</v>
      </c>
      <c r="Z33" s="94" t="s">
        <v>115</v>
      </c>
      <c r="AA33" s="96" t="s">
        <v>89</v>
      </c>
      <c r="AB33" s="26" t="s">
        <v>146</v>
      </c>
      <c r="AC33" s="26" t="s">
        <v>371</v>
      </c>
      <c r="AD33" s="94" t="s">
        <v>115</v>
      </c>
      <c r="AE33" s="96" t="s">
        <v>89</v>
      </c>
      <c r="AF33" s="26" t="s">
        <v>146</v>
      </c>
      <c r="AG33" s="26" t="s">
        <v>371</v>
      </c>
      <c r="AH33" s="94" t="s">
        <v>115</v>
      </c>
      <c r="AI33" s="96" t="s">
        <v>89</v>
      </c>
      <c r="AJ33" s="26" t="s">
        <v>146</v>
      </c>
      <c r="AK33" s="26" t="s">
        <v>371</v>
      </c>
      <c r="AL33" s="94" t="s">
        <v>115</v>
      </c>
      <c r="AM33" s="96" t="s">
        <v>89</v>
      </c>
      <c r="AN33" s="26" t="s">
        <v>146</v>
      </c>
      <c r="AO33" s="26" t="s">
        <v>371</v>
      </c>
      <c r="AP33" s="94" t="s">
        <v>115</v>
      </c>
      <c r="AQ33" s="96" t="s">
        <v>89</v>
      </c>
      <c r="AR33" s="26" t="s">
        <v>146</v>
      </c>
      <c r="AS33" s="26" t="s">
        <v>371</v>
      </c>
      <c r="AT33" s="94" t="s">
        <v>115</v>
      </c>
      <c r="AU33" s="96" t="s">
        <v>89</v>
      </c>
      <c r="AV33" s="26" t="s">
        <v>146</v>
      </c>
      <c r="AW33" s="26" t="s">
        <v>371</v>
      </c>
      <c r="AX33" s="94" t="s">
        <v>115</v>
      </c>
      <c r="AY33" s="96" t="s">
        <v>89</v>
      </c>
      <c r="AZ33" s="26" t="s">
        <v>146</v>
      </c>
      <c r="BA33" s="26" t="s">
        <v>371</v>
      </c>
      <c r="BB33" s="94" t="s">
        <v>115</v>
      </c>
      <c r="BC33" s="96" t="s">
        <v>89</v>
      </c>
      <c r="BD33" s="26" t="s">
        <v>146</v>
      </c>
      <c r="BE33" s="26" t="s">
        <v>371</v>
      </c>
      <c r="BF33" s="94" t="s">
        <v>115</v>
      </c>
      <c r="BG33" s="96" t="s">
        <v>89</v>
      </c>
      <c r="BH33" s="26" t="s">
        <v>146</v>
      </c>
      <c r="BI33" s="26" t="s">
        <v>371</v>
      </c>
      <c r="BJ33" s="94" t="s">
        <v>115</v>
      </c>
      <c r="BK33" s="96" t="s">
        <v>89</v>
      </c>
      <c r="BL33" s="26" t="s">
        <v>146</v>
      </c>
      <c r="BM33" s="26" t="s">
        <v>371</v>
      </c>
      <c r="BN33" s="94" t="s">
        <v>115</v>
      </c>
      <c r="BO33" s="96" t="s">
        <v>89</v>
      </c>
      <c r="BP33" s="26" t="s">
        <v>146</v>
      </c>
      <c r="BQ33" s="26" t="s">
        <v>371</v>
      </c>
      <c r="BR33" s="94" t="s">
        <v>115</v>
      </c>
      <c r="BS33" s="96" t="s">
        <v>89</v>
      </c>
      <c r="BT33" s="26" t="s">
        <v>146</v>
      </c>
      <c r="BU33" s="26" t="s">
        <v>371</v>
      </c>
      <c r="BV33" s="94" t="s">
        <v>115</v>
      </c>
      <c r="BW33" s="96" t="s">
        <v>89</v>
      </c>
      <c r="BX33" s="26" t="s">
        <v>146</v>
      </c>
      <c r="BY33" s="26" t="s">
        <v>371</v>
      </c>
      <c r="BZ33" s="94" t="s">
        <v>115</v>
      </c>
      <c r="CA33" s="96" t="s">
        <v>89</v>
      </c>
      <c r="CB33" s="26" t="s">
        <v>146</v>
      </c>
      <c r="CC33" s="26" t="s">
        <v>371</v>
      </c>
      <c r="CD33" s="94" t="s">
        <v>115</v>
      </c>
      <c r="CE33" s="96" t="s">
        <v>89</v>
      </c>
      <c r="CF33" s="26" t="s">
        <v>146</v>
      </c>
      <c r="CG33" s="26" t="s">
        <v>371</v>
      </c>
    </row>
    <row r="34" spans="1:85" ht="15" x14ac:dyDescent="0.25">
      <c r="A34" s="13"/>
      <c r="B34" s="156">
        <v>9.48</v>
      </c>
      <c r="C34" s="156">
        <v>1.08</v>
      </c>
      <c r="D34" s="20"/>
      <c r="E34" s="20"/>
      <c r="F34" s="156">
        <v>6.18</v>
      </c>
      <c r="G34" s="156">
        <v>0</v>
      </c>
      <c r="J34" s="156">
        <v>6.1199999999999992</v>
      </c>
      <c r="K34" s="156">
        <v>0.35799999999999998</v>
      </c>
      <c r="Z34" s="80">
        <v>0</v>
      </c>
      <c r="AA34" s="80">
        <v>0</v>
      </c>
      <c r="AD34" s="80">
        <v>0</v>
      </c>
      <c r="AE34" s="193">
        <v>0</v>
      </c>
      <c r="AH34" s="80">
        <v>0</v>
      </c>
      <c r="AI34" s="193">
        <v>0</v>
      </c>
      <c r="AL34" s="80">
        <v>-9.8300000000000004E-5</v>
      </c>
      <c r="AM34" s="80">
        <v>0</v>
      </c>
      <c r="AP34" s="80">
        <v>-9.8300000000000004E-5</v>
      </c>
      <c r="AQ34" s="80">
        <v>0</v>
      </c>
      <c r="AT34" s="80">
        <v>-9.8300000000000004E-5</v>
      </c>
      <c r="AU34" s="80">
        <v>0</v>
      </c>
      <c r="AX34" s="80">
        <v>-9.8300000000000004E-5</v>
      </c>
      <c r="AY34" s="80">
        <v>0</v>
      </c>
      <c r="BB34" s="80">
        <v>-9.8300000000000004E-5</v>
      </c>
      <c r="BC34" s="80">
        <v>0</v>
      </c>
      <c r="BF34" s="80">
        <v>-9.8300000000000004E-5</v>
      </c>
      <c r="BG34" s="80">
        <v>0</v>
      </c>
      <c r="BJ34" s="80">
        <v>0</v>
      </c>
      <c r="BK34" s="80">
        <v>0</v>
      </c>
      <c r="BN34" s="80">
        <v>0</v>
      </c>
      <c r="BO34" s="80">
        <v>0</v>
      </c>
      <c r="BR34" s="80">
        <v>0</v>
      </c>
      <c r="BS34" s="80">
        <v>0</v>
      </c>
      <c r="BV34" s="80">
        <v>0</v>
      </c>
      <c r="BW34" s="80">
        <v>0.33100000000000002</v>
      </c>
      <c r="BX34" s="171">
        <f>100/BW34*BY34</f>
        <v>0</v>
      </c>
      <c r="BY34" s="80">
        <v>0</v>
      </c>
      <c r="BZ34" s="80">
        <v>0</v>
      </c>
      <c r="CA34" s="156">
        <v>0</v>
      </c>
      <c r="CD34" s="80">
        <v>1</v>
      </c>
      <c r="CE34" s="80">
        <v>3.17</v>
      </c>
    </row>
    <row r="35" spans="1:85" ht="15" x14ac:dyDescent="0.2">
      <c r="A35" s="15"/>
      <c r="B35" s="156">
        <v>12.66</v>
      </c>
      <c r="C35" s="156">
        <v>2.88</v>
      </c>
      <c r="D35" s="20"/>
      <c r="E35" s="20"/>
      <c r="F35" s="156">
        <v>18.600000000000001</v>
      </c>
      <c r="G35" s="156">
        <v>0.71899999999999997</v>
      </c>
      <c r="J35" s="156">
        <v>11.940000000000001</v>
      </c>
      <c r="K35" s="156">
        <v>8.6</v>
      </c>
      <c r="Z35" s="80">
        <v>0.5</v>
      </c>
      <c r="AA35" s="80">
        <v>23</v>
      </c>
      <c r="AD35" s="80">
        <v>0.5</v>
      </c>
      <c r="AE35" s="193">
        <v>17.399999999999999</v>
      </c>
      <c r="AH35" s="80">
        <v>0.5</v>
      </c>
      <c r="AI35" s="193">
        <v>13.600000000000001</v>
      </c>
      <c r="AL35" s="80">
        <v>0.5</v>
      </c>
      <c r="AM35" s="80">
        <v>22.6</v>
      </c>
      <c r="AP35" s="80">
        <v>0.5</v>
      </c>
      <c r="AQ35" s="80">
        <v>17.7</v>
      </c>
      <c r="AT35" s="80">
        <v>0.5</v>
      </c>
      <c r="AU35" s="80">
        <v>13.4</v>
      </c>
      <c r="AX35" s="80">
        <v>0.5</v>
      </c>
      <c r="AY35" s="80">
        <v>23.9</v>
      </c>
      <c r="BB35" s="80">
        <v>0.5</v>
      </c>
      <c r="BC35" s="80">
        <v>18.8</v>
      </c>
      <c r="BF35" s="80">
        <v>0.5</v>
      </c>
      <c r="BG35" s="80">
        <v>14.5</v>
      </c>
      <c r="BJ35" s="80">
        <v>0.5</v>
      </c>
      <c r="BK35" s="80">
        <v>23.5</v>
      </c>
      <c r="BN35" s="80">
        <v>0.5</v>
      </c>
      <c r="BO35" s="80">
        <v>18.600000000000001</v>
      </c>
      <c r="BR35" s="80">
        <v>0.5</v>
      </c>
      <c r="BS35" s="80">
        <v>14.5</v>
      </c>
      <c r="BV35" s="80">
        <v>0.25</v>
      </c>
      <c r="BW35" s="80">
        <v>75.5</v>
      </c>
      <c r="BX35" s="171">
        <f t="shared" ref="BX35:BX39" si="0">100/BW35*BY35</f>
        <v>9.4039735099337687</v>
      </c>
      <c r="BY35" s="80">
        <v>7.0999999999999943</v>
      </c>
      <c r="BZ35" s="80">
        <v>2</v>
      </c>
      <c r="CA35" s="156">
        <v>14.46</v>
      </c>
      <c r="CD35" s="80">
        <v>2</v>
      </c>
      <c r="CE35" s="80">
        <v>9.5</v>
      </c>
    </row>
    <row r="36" spans="1:85" ht="15" x14ac:dyDescent="0.2">
      <c r="A36" s="16"/>
      <c r="B36" s="156">
        <v>19.02</v>
      </c>
      <c r="C36" s="156">
        <v>5.4</v>
      </c>
      <c r="D36" s="20"/>
      <c r="E36" s="20"/>
      <c r="F36" s="156">
        <v>27.900000000000002</v>
      </c>
      <c r="G36" s="156">
        <v>1.44</v>
      </c>
      <c r="J36" s="156">
        <v>2.0760000000000001</v>
      </c>
      <c r="K36" s="156">
        <v>21.5</v>
      </c>
      <c r="Z36" s="80">
        <v>1</v>
      </c>
      <c r="AA36" s="80">
        <v>36.6</v>
      </c>
      <c r="AD36" s="80">
        <v>1</v>
      </c>
      <c r="AE36" s="193">
        <v>27.400000000000002</v>
      </c>
      <c r="AH36" s="80">
        <v>1</v>
      </c>
      <c r="AI36" s="193">
        <v>21.6</v>
      </c>
      <c r="AL36" s="80">
        <v>1</v>
      </c>
      <c r="AM36" s="80">
        <v>36.4</v>
      </c>
      <c r="AP36" s="80">
        <v>1</v>
      </c>
      <c r="AQ36" s="80">
        <v>27</v>
      </c>
      <c r="AT36" s="80">
        <v>1</v>
      </c>
      <c r="AU36" s="80">
        <v>21.9</v>
      </c>
      <c r="AX36" s="80">
        <v>1</v>
      </c>
      <c r="AY36" s="80">
        <v>37.700000000000003</v>
      </c>
      <c r="BB36" s="80">
        <v>1</v>
      </c>
      <c r="BC36" s="80">
        <v>28.2</v>
      </c>
      <c r="BF36" s="80">
        <v>1</v>
      </c>
      <c r="BG36" s="80">
        <v>22.7</v>
      </c>
      <c r="BJ36" s="80">
        <v>1</v>
      </c>
      <c r="BK36" s="80">
        <v>37.299999999999997</v>
      </c>
      <c r="BN36" s="80">
        <v>1</v>
      </c>
      <c r="BO36" s="80">
        <v>28.3</v>
      </c>
      <c r="BR36" s="80">
        <v>1</v>
      </c>
      <c r="BS36" s="80">
        <v>22.5</v>
      </c>
      <c r="BV36" s="80">
        <v>0.5</v>
      </c>
      <c r="BW36" s="80">
        <v>86.1</v>
      </c>
      <c r="BX36" s="171">
        <f t="shared" si="0"/>
        <v>1.9744483159117174</v>
      </c>
      <c r="BY36" s="80">
        <v>1.6999999999999886</v>
      </c>
      <c r="BZ36" s="80">
        <v>4</v>
      </c>
      <c r="CA36" s="156">
        <v>24.68</v>
      </c>
      <c r="CD36" s="80">
        <v>3</v>
      </c>
      <c r="CE36" s="80">
        <v>15.6</v>
      </c>
    </row>
    <row r="37" spans="1:85" ht="15" x14ac:dyDescent="0.2">
      <c r="A37" s="15"/>
      <c r="B37" s="156">
        <v>25.259999999999998</v>
      </c>
      <c r="C37" s="156">
        <v>7.19</v>
      </c>
      <c r="D37" s="20"/>
      <c r="E37" s="20"/>
      <c r="F37" s="156">
        <v>40.260000000000005</v>
      </c>
      <c r="G37" s="156">
        <v>2.88</v>
      </c>
      <c r="J37" s="156">
        <v>13.860000000000001</v>
      </c>
      <c r="K37" s="156">
        <v>35.5</v>
      </c>
      <c r="Z37" s="80">
        <v>1.5</v>
      </c>
      <c r="AA37" s="80">
        <v>47.5</v>
      </c>
      <c r="AD37" s="80">
        <v>1.5</v>
      </c>
      <c r="AE37" s="193">
        <v>35.199999999999996</v>
      </c>
      <c r="AH37" s="80">
        <v>1.5</v>
      </c>
      <c r="AI37" s="193">
        <v>28.000000000000004</v>
      </c>
      <c r="AL37" s="80">
        <v>1.5</v>
      </c>
      <c r="AM37" s="80">
        <v>48.3</v>
      </c>
      <c r="AP37" s="80">
        <v>1.5</v>
      </c>
      <c r="AQ37" s="80">
        <v>35</v>
      </c>
      <c r="AT37" s="80">
        <v>1.5</v>
      </c>
      <c r="AU37" s="80">
        <v>27.7</v>
      </c>
      <c r="AX37" s="80">
        <v>1.5</v>
      </c>
      <c r="AY37" s="80">
        <v>49.3</v>
      </c>
      <c r="BB37" s="80">
        <v>1.5</v>
      </c>
      <c r="BC37" s="80">
        <v>36.5</v>
      </c>
      <c r="BF37" s="80">
        <v>1.5</v>
      </c>
      <c r="BG37" s="80">
        <v>29.2</v>
      </c>
      <c r="BJ37" s="80">
        <v>1.5</v>
      </c>
      <c r="BK37" s="80">
        <v>48.1</v>
      </c>
      <c r="BN37" s="80">
        <v>1.5</v>
      </c>
      <c r="BO37" s="80">
        <v>36</v>
      </c>
      <c r="BR37" s="80">
        <v>1.5</v>
      </c>
      <c r="BS37" s="80">
        <v>28.8</v>
      </c>
      <c r="BV37" s="80">
        <v>0.75</v>
      </c>
      <c r="BW37" s="80">
        <v>91.6</v>
      </c>
      <c r="BX37" s="171">
        <f t="shared" si="0"/>
        <v>2.6200873362445325</v>
      </c>
      <c r="BY37" s="80">
        <v>2.3999999999999915</v>
      </c>
      <c r="BZ37" s="80">
        <v>6</v>
      </c>
      <c r="CA37" s="156">
        <v>34.9</v>
      </c>
      <c r="CD37" s="80">
        <v>4</v>
      </c>
      <c r="CE37" s="80">
        <v>21.1</v>
      </c>
    </row>
    <row r="38" spans="1:85" x14ac:dyDescent="0.2">
      <c r="B38" s="156">
        <v>31.62</v>
      </c>
      <c r="C38" s="156">
        <v>9.35</v>
      </c>
      <c r="D38" s="20"/>
      <c r="E38" s="20"/>
      <c r="F38" s="156">
        <v>52.68</v>
      </c>
      <c r="G38" s="156">
        <v>4.32</v>
      </c>
      <c r="J38" s="156">
        <v>13.08</v>
      </c>
      <c r="K38" s="156">
        <v>52.300000000000004</v>
      </c>
      <c r="Z38" s="80">
        <v>2</v>
      </c>
      <c r="AA38" s="80">
        <v>57.3</v>
      </c>
      <c r="AB38" s="32"/>
      <c r="AC38" s="32"/>
      <c r="AD38" s="80">
        <v>2</v>
      </c>
      <c r="AE38" s="194">
        <v>42.3</v>
      </c>
      <c r="AF38" s="32"/>
      <c r="AG38" s="32"/>
      <c r="AH38" s="80">
        <v>2</v>
      </c>
      <c r="AI38" s="194">
        <v>33.800000000000004</v>
      </c>
      <c r="AJ38" s="32"/>
      <c r="AL38" s="80">
        <v>2</v>
      </c>
      <c r="AM38" s="80">
        <v>57.3</v>
      </c>
      <c r="AP38" s="80">
        <v>2</v>
      </c>
      <c r="AQ38" s="80">
        <v>42.5</v>
      </c>
      <c r="AT38" s="80">
        <v>2</v>
      </c>
      <c r="AU38" s="80">
        <v>34</v>
      </c>
      <c r="AX38" s="80">
        <v>2</v>
      </c>
      <c r="AY38" s="80">
        <v>57.9</v>
      </c>
      <c r="BB38" s="80">
        <v>2</v>
      </c>
      <c r="BC38" s="80">
        <v>43.2</v>
      </c>
      <c r="BF38" s="80">
        <v>2</v>
      </c>
      <c r="BG38" s="80">
        <v>34.799999999999997</v>
      </c>
      <c r="BJ38" s="80">
        <v>2</v>
      </c>
      <c r="BK38" s="80">
        <v>58.1</v>
      </c>
      <c r="BN38" s="80">
        <v>2</v>
      </c>
      <c r="BO38" s="80">
        <v>43.1</v>
      </c>
      <c r="BR38" s="80">
        <v>2</v>
      </c>
      <c r="BS38" s="80">
        <v>34.6</v>
      </c>
      <c r="BV38" s="80">
        <v>1</v>
      </c>
      <c r="BW38" s="80">
        <v>96.9</v>
      </c>
      <c r="BX38" s="171">
        <f t="shared" si="0"/>
        <v>1.2383900928792597</v>
      </c>
      <c r="BY38" s="80">
        <v>1.2000000000000028</v>
      </c>
      <c r="BZ38" s="80">
        <v>8</v>
      </c>
      <c r="CA38" s="156">
        <v>44.04</v>
      </c>
      <c r="CD38" s="80">
        <v>5</v>
      </c>
      <c r="CE38" s="80">
        <v>26.4</v>
      </c>
    </row>
    <row r="39" spans="1:85" x14ac:dyDescent="0.2">
      <c r="B39" s="156">
        <v>44.1</v>
      </c>
      <c r="C39" s="156">
        <v>11.200000000000001</v>
      </c>
      <c r="D39" s="20"/>
      <c r="E39" s="20"/>
      <c r="F39" s="156">
        <v>61.800000000000004</v>
      </c>
      <c r="G39" s="156">
        <v>5.76</v>
      </c>
      <c r="J39" s="156">
        <v>62.400000000000006</v>
      </c>
      <c r="K39" s="156">
        <v>52.300000000000004</v>
      </c>
      <c r="Z39" s="80">
        <v>3</v>
      </c>
      <c r="AA39" s="80">
        <v>74</v>
      </c>
      <c r="AD39" s="80">
        <v>3</v>
      </c>
      <c r="AE39" s="193">
        <v>54.500000000000007</v>
      </c>
      <c r="AH39" s="80">
        <v>3</v>
      </c>
      <c r="AI39" s="193">
        <v>43.6</v>
      </c>
      <c r="AL39" s="80">
        <v>3</v>
      </c>
      <c r="AM39" s="80">
        <v>73.099999999999994</v>
      </c>
      <c r="AP39" s="80">
        <v>3</v>
      </c>
      <c r="AQ39" s="80">
        <v>54.4</v>
      </c>
      <c r="AT39" s="80">
        <v>3</v>
      </c>
      <c r="AU39" s="80">
        <v>43.5</v>
      </c>
      <c r="AX39" s="80">
        <v>3</v>
      </c>
      <c r="AY39" s="80">
        <v>74.099999999999994</v>
      </c>
      <c r="BB39" s="80">
        <v>3</v>
      </c>
      <c r="BC39" s="80">
        <v>55.3</v>
      </c>
      <c r="BF39" s="80">
        <v>3</v>
      </c>
      <c r="BG39" s="80">
        <v>44.4</v>
      </c>
      <c r="BJ39" s="80">
        <v>3</v>
      </c>
      <c r="BK39" s="80">
        <v>74</v>
      </c>
      <c r="BN39" s="80">
        <v>3</v>
      </c>
      <c r="BO39" s="80">
        <v>55.2</v>
      </c>
      <c r="BR39" s="80">
        <v>3</v>
      </c>
      <c r="BS39" s="80">
        <v>44.5</v>
      </c>
      <c r="BV39" s="80">
        <v>2</v>
      </c>
      <c r="BW39" s="80">
        <v>99.8</v>
      </c>
      <c r="BX39" s="171">
        <f t="shared" si="0"/>
        <v>1.5030060120240483</v>
      </c>
      <c r="BY39" s="80">
        <v>1.5</v>
      </c>
      <c r="BZ39" s="80">
        <v>10</v>
      </c>
      <c r="CA39" s="156">
        <v>52.28</v>
      </c>
      <c r="CD39" s="80">
        <v>6</v>
      </c>
      <c r="CE39" s="80">
        <v>33.200000000000003</v>
      </c>
    </row>
    <row r="40" spans="1:85" x14ac:dyDescent="0.2">
      <c r="B40" s="156">
        <v>47.28</v>
      </c>
      <c r="C40" s="156">
        <v>12.6</v>
      </c>
      <c r="D40" s="20"/>
      <c r="E40" s="20"/>
      <c r="F40" s="156">
        <v>83.399999999999991</v>
      </c>
      <c r="G40" s="156">
        <v>8.6300000000000008</v>
      </c>
      <c r="J40" s="156">
        <v>106.2</v>
      </c>
      <c r="K40" s="156">
        <v>52.7</v>
      </c>
      <c r="Z40" s="80">
        <v>4</v>
      </c>
      <c r="AA40" s="80">
        <v>86.6</v>
      </c>
      <c r="AD40" s="80">
        <v>4</v>
      </c>
      <c r="AE40" s="193">
        <v>64.099999999999994</v>
      </c>
      <c r="AH40" s="80">
        <v>4</v>
      </c>
      <c r="AI40" s="193">
        <v>52.1</v>
      </c>
      <c r="AL40" s="80">
        <v>4</v>
      </c>
      <c r="AM40" s="80">
        <v>86.2</v>
      </c>
      <c r="AP40" s="80">
        <v>4</v>
      </c>
      <c r="AQ40" s="80">
        <v>63.6</v>
      </c>
      <c r="AT40" s="80">
        <v>4</v>
      </c>
      <c r="AU40" s="80">
        <v>52</v>
      </c>
      <c r="AX40" s="80">
        <v>4</v>
      </c>
      <c r="AY40" s="80">
        <v>86.9</v>
      </c>
      <c r="BB40" s="80">
        <v>4</v>
      </c>
      <c r="BC40" s="80">
        <v>64.7</v>
      </c>
      <c r="BF40" s="80">
        <v>4</v>
      </c>
      <c r="BG40" s="80">
        <v>53.4</v>
      </c>
      <c r="BJ40" s="80">
        <v>4</v>
      </c>
      <c r="BK40" s="80">
        <v>87.1</v>
      </c>
      <c r="BN40" s="80">
        <v>4</v>
      </c>
      <c r="BO40" s="80">
        <v>64.8</v>
      </c>
      <c r="BR40" s="80">
        <v>4</v>
      </c>
      <c r="BS40" s="80">
        <v>53</v>
      </c>
      <c r="BZ40" s="80">
        <v>12</v>
      </c>
      <c r="CA40" s="156">
        <v>60.36</v>
      </c>
      <c r="CD40" s="80">
        <v>7</v>
      </c>
      <c r="CE40" s="80">
        <v>38.799999999999997</v>
      </c>
    </row>
    <row r="41" spans="1:85" x14ac:dyDescent="0.2">
      <c r="B41" s="156">
        <v>53.58</v>
      </c>
      <c r="C41" s="156">
        <v>13.700000000000001</v>
      </c>
      <c r="D41" s="20"/>
      <c r="E41" s="20"/>
      <c r="F41" s="156">
        <v>90</v>
      </c>
      <c r="G41" s="156">
        <v>10.100000000000001</v>
      </c>
      <c r="J41" s="156">
        <v>149.4</v>
      </c>
      <c r="K41" s="156">
        <v>53.800000000000004</v>
      </c>
      <c r="Z41" s="80">
        <v>5</v>
      </c>
      <c r="AA41" s="80">
        <v>95.7</v>
      </c>
      <c r="AD41" s="80">
        <v>5</v>
      </c>
      <c r="AE41" s="193">
        <v>72.3</v>
      </c>
      <c r="AH41" s="80">
        <v>5</v>
      </c>
      <c r="AI41" s="193">
        <v>59.4</v>
      </c>
      <c r="AL41" s="80">
        <v>5</v>
      </c>
      <c r="AM41" s="80">
        <v>95</v>
      </c>
      <c r="AP41" s="80">
        <v>5</v>
      </c>
      <c r="AQ41" s="80">
        <v>72.099999999999994</v>
      </c>
      <c r="AT41" s="80">
        <v>5</v>
      </c>
      <c r="AU41" s="80">
        <v>59.3</v>
      </c>
      <c r="AX41" s="80">
        <v>5</v>
      </c>
      <c r="AY41" s="80">
        <v>95.9</v>
      </c>
      <c r="BB41" s="80">
        <v>5</v>
      </c>
      <c r="BC41" s="80">
        <v>73.2</v>
      </c>
      <c r="BF41" s="80">
        <v>5</v>
      </c>
      <c r="BG41" s="80">
        <v>60.4</v>
      </c>
      <c r="BJ41" s="80">
        <v>5</v>
      </c>
      <c r="BK41" s="80">
        <v>95.8</v>
      </c>
      <c r="BN41" s="80">
        <v>5</v>
      </c>
      <c r="BO41" s="80">
        <v>72.8</v>
      </c>
      <c r="BR41" s="80">
        <v>5</v>
      </c>
      <c r="BS41" s="80">
        <v>60.2</v>
      </c>
      <c r="BZ41" s="80">
        <v>14</v>
      </c>
      <c r="CA41" s="156">
        <v>67.64</v>
      </c>
      <c r="CD41" s="80">
        <v>8</v>
      </c>
      <c r="CE41" s="80">
        <v>45.6</v>
      </c>
    </row>
    <row r="42" spans="1:85" x14ac:dyDescent="0.2">
      <c r="B42" s="156">
        <v>56.76</v>
      </c>
      <c r="C42" s="156">
        <v>15.5</v>
      </c>
      <c r="D42" s="20"/>
      <c r="E42" s="20"/>
      <c r="F42" s="156">
        <v>93</v>
      </c>
      <c r="G42" s="156">
        <v>10.8</v>
      </c>
      <c r="J42" s="156">
        <v>199.2</v>
      </c>
      <c r="K42" s="156">
        <v>53.400000000000006</v>
      </c>
      <c r="Z42" s="80">
        <v>6</v>
      </c>
      <c r="AA42" s="80">
        <v>97.899999999999991</v>
      </c>
      <c r="AD42" s="80">
        <v>6</v>
      </c>
      <c r="AE42" s="193">
        <v>79.2</v>
      </c>
      <c r="AH42" s="80">
        <v>6</v>
      </c>
      <c r="AI42" s="193">
        <v>66.3</v>
      </c>
      <c r="AL42" s="80">
        <v>6</v>
      </c>
      <c r="AM42" s="80">
        <v>97.9</v>
      </c>
      <c r="AP42" s="80">
        <v>6</v>
      </c>
      <c r="AQ42" s="80">
        <v>79.400000000000006</v>
      </c>
      <c r="AT42" s="80">
        <v>6</v>
      </c>
      <c r="AU42" s="80">
        <v>66.3</v>
      </c>
      <c r="AX42" s="80">
        <v>6</v>
      </c>
      <c r="AY42" s="80">
        <v>98</v>
      </c>
      <c r="BB42" s="80">
        <v>6</v>
      </c>
      <c r="BC42" s="80">
        <v>79.900000000000006</v>
      </c>
      <c r="BF42" s="80">
        <v>6</v>
      </c>
      <c r="BG42" s="80">
        <v>67.400000000000006</v>
      </c>
      <c r="BJ42" s="80">
        <v>6</v>
      </c>
      <c r="BK42" s="80">
        <v>98.2</v>
      </c>
      <c r="BN42" s="80">
        <v>6</v>
      </c>
      <c r="BO42" s="80">
        <v>79.8</v>
      </c>
      <c r="BR42" s="80">
        <v>6</v>
      </c>
      <c r="BS42" s="80">
        <v>67</v>
      </c>
      <c r="BZ42" s="80">
        <v>16</v>
      </c>
      <c r="CA42" s="156">
        <v>74.58</v>
      </c>
      <c r="CD42" s="80">
        <v>9</v>
      </c>
      <c r="CE42" s="80">
        <v>50.9</v>
      </c>
    </row>
    <row r="43" spans="1:85" ht="15" x14ac:dyDescent="0.25">
      <c r="B43" s="156">
        <v>66</v>
      </c>
      <c r="C43" s="156">
        <v>18</v>
      </c>
      <c r="D43" s="20"/>
      <c r="E43" s="20"/>
      <c r="F43" s="156">
        <v>99</v>
      </c>
      <c r="G43" s="156">
        <v>12.6</v>
      </c>
      <c r="J43" s="156">
        <v>245.39999999999998</v>
      </c>
      <c r="K43" s="156">
        <v>55.2</v>
      </c>
      <c r="Z43" s="80">
        <v>8</v>
      </c>
      <c r="AA43" s="80">
        <v>99.2</v>
      </c>
      <c r="AB43" s="1"/>
      <c r="AC43" s="1"/>
      <c r="AD43" s="80">
        <v>8</v>
      </c>
      <c r="AE43" s="193">
        <v>89.600000000000009</v>
      </c>
      <c r="AF43" s="1"/>
      <c r="AG43" s="1"/>
      <c r="AH43" s="80">
        <v>8</v>
      </c>
      <c r="AI43" s="193">
        <v>77.8</v>
      </c>
      <c r="AJ43" s="1"/>
      <c r="AL43" s="80">
        <v>8</v>
      </c>
      <c r="AM43" s="80">
        <v>98.4</v>
      </c>
      <c r="AP43" s="80">
        <v>8</v>
      </c>
      <c r="AQ43" s="80">
        <v>89.9</v>
      </c>
      <c r="AT43" s="80">
        <v>8</v>
      </c>
      <c r="AU43" s="80">
        <v>77.7</v>
      </c>
      <c r="AX43" s="80">
        <v>8</v>
      </c>
      <c r="AY43" s="80">
        <v>99.2</v>
      </c>
      <c r="BB43" s="80">
        <v>8</v>
      </c>
      <c r="BC43" s="80">
        <v>89.8</v>
      </c>
      <c r="BF43" s="80">
        <v>8</v>
      </c>
      <c r="BG43" s="80">
        <v>77.7</v>
      </c>
      <c r="BJ43" s="80">
        <v>8</v>
      </c>
      <c r="BK43" s="80">
        <v>98.7</v>
      </c>
      <c r="BN43" s="80">
        <v>8</v>
      </c>
      <c r="BO43" s="80">
        <v>89.5</v>
      </c>
      <c r="BR43" s="80">
        <v>8</v>
      </c>
      <c r="BS43" s="80">
        <v>77.900000000000006</v>
      </c>
      <c r="BZ43" s="80">
        <v>18</v>
      </c>
      <c r="CA43" s="156">
        <v>80.72</v>
      </c>
      <c r="CD43" s="80">
        <v>10</v>
      </c>
      <c r="CE43" s="80">
        <v>57.5</v>
      </c>
    </row>
    <row r="44" spans="1:85" x14ac:dyDescent="0.2">
      <c r="B44" s="156">
        <v>75.599999999999994</v>
      </c>
      <c r="C44" s="156">
        <v>20.5</v>
      </c>
      <c r="D44" s="20"/>
      <c r="E44" s="20"/>
      <c r="F44" s="156">
        <v>108.60000000000001</v>
      </c>
      <c r="G44" s="156">
        <v>14.000000000000002</v>
      </c>
      <c r="J44" s="156">
        <v>288.59999999999997</v>
      </c>
      <c r="K44" s="156">
        <v>55.2</v>
      </c>
      <c r="Z44" s="80">
        <v>10</v>
      </c>
      <c r="AA44" s="80">
        <v>98.7</v>
      </c>
      <c r="AD44" s="80">
        <v>10</v>
      </c>
      <c r="AE44" s="193">
        <v>95.1</v>
      </c>
      <c r="AH44" s="80">
        <v>10</v>
      </c>
      <c r="AI44" s="193">
        <v>86.9</v>
      </c>
      <c r="AL44" s="80">
        <v>10</v>
      </c>
      <c r="AM44" s="80">
        <v>99.1</v>
      </c>
      <c r="AP44" s="80">
        <v>10</v>
      </c>
      <c r="AQ44" s="80">
        <v>95</v>
      </c>
      <c r="AT44" s="80">
        <v>10</v>
      </c>
      <c r="AU44" s="80">
        <v>86.7</v>
      </c>
      <c r="AX44" s="80">
        <v>10</v>
      </c>
      <c r="AY44" s="80">
        <v>99.2</v>
      </c>
      <c r="BB44" s="80">
        <v>10</v>
      </c>
      <c r="BC44" s="80">
        <v>95.9</v>
      </c>
      <c r="BF44" s="80">
        <v>10</v>
      </c>
      <c r="BG44" s="80">
        <v>87.4</v>
      </c>
      <c r="BJ44" s="80">
        <v>10</v>
      </c>
      <c r="BK44" s="80">
        <v>99</v>
      </c>
      <c r="BN44" s="80">
        <v>10</v>
      </c>
      <c r="BO44" s="80">
        <v>95.1</v>
      </c>
      <c r="BR44" s="80">
        <v>10</v>
      </c>
      <c r="BS44" s="80">
        <v>86.9</v>
      </c>
      <c r="BZ44" s="80">
        <v>20</v>
      </c>
      <c r="CA44" s="156">
        <v>86.32</v>
      </c>
      <c r="CD44" s="80">
        <v>11</v>
      </c>
      <c r="CE44" s="80">
        <v>61.5</v>
      </c>
    </row>
    <row r="45" spans="1:85" x14ac:dyDescent="0.2">
      <c r="B45" s="156">
        <v>78.600000000000009</v>
      </c>
      <c r="C45" s="156">
        <v>22.7</v>
      </c>
      <c r="D45" s="20"/>
      <c r="E45" s="20"/>
      <c r="F45" s="156">
        <v>117.6</v>
      </c>
      <c r="G45" s="156">
        <v>15.1</v>
      </c>
      <c r="J45" s="156">
        <v>310.2</v>
      </c>
      <c r="K45" s="246">
        <v>62.7</v>
      </c>
      <c r="Z45" s="80">
        <v>12</v>
      </c>
      <c r="AA45" s="80">
        <v>99.7</v>
      </c>
      <c r="AD45" s="80">
        <v>12</v>
      </c>
      <c r="AE45" s="193">
        <v>96.399999999999991</v>
      </c>
      <c r="AH45" s="80">
        <v>12</v>
      </c>
      <c r="AI45" s="193">
        <v>93.7</v>
      </c>
      <c r="AL45" s="80">
        <v>12</v>
      </c>
      <c r="AM45" s="80">
        <v>99.1</v>
      </c>
      <c r="AP45" s="80">
        <v>12</v>
      </c>
      <c r="AQ45" s="80">
        <v>96.7</v>
      </c>
      <c r="AT45" s="80">
        <v>12</v>
      </c>
      <c r="AU45" s="80">
        <v>94</v>
      </c>
      <c r="AX45" s="80">
        <v>12</v>
      </c>
      <c r="AY45" s="80">
        <v>99.2</v>
      </c>
      <c r="BB45" s="80">
        <v>12</v>
      </c>
      <c r="BC45" s="80">
        <v>96.3</v>
      </c>
      <c r="BF45" s="80">
        <v>12</v>
      </c>
      <c r="BG45" s="80">
        <v>93.9</v>
      </c>
      <c r="BJ45" s="80">
        <v>12</v>
      </c>
      <c r="BK45" s="80">
        <v>99.2</v>
      </c>
      <c r="BN45" s="80">
        <v>12</v>
      </c>
      <c r="BO45" s="80">
        <v>96.3</v>
      </c>
      <c r="BR45" s="80">
        <v>12</v>
      </c>
      <c r="BS45" s="80">
        <v>93.6</v>
      </c>
      <c r="CD45" s="80">
        <v>12</v>
      </c>
      <c r="CE45" s="80">
        <v>67.3</v>
      </c>
    </row>
    <row r="46" spans="1:85" x14ac:dyDescent="0.2">
      <c r="B46" s="156">
        <v>85.199999999999989</v>
      </c>
      <c r="C46" s="156">
        <v>25.2</v>
      </c>
      <c r="D46" s="20"/>
      <c r="E46" s="20"/>
      <c r="F46" s="156">
        <v>130.19999999999999</v>
      </c>
      <c r="G46" s="156">
        <v>15.8</v>
      </c>
      <c r="J46" s="156">
        <v>315.59999999999997</v>
      </c>
      <c r="K46" s="156">
        <v>76</v>
      </c>
      <c r="CD46" s="80">
        <v>13</v>
      </c>
      <c r="CE46" s="80">
        <v>71.2</v>
      </c>
    </row>
    <row r="47" spans="1:85" x14ac:dyDescent="0.2">
      <c r="B47" s="156">
        <v>94.800000000000011</v>
      </c>
      <c r="C47" s="156">
        <v>27.3</v>
      </c>
      <c r="D47" s="20"/>
      <c r="E47" s="20"/>
      <c r="F47" s="156">
        <v>139.19999999999999</v>
      </c>
      <c r="G47" s="156">
        <v>16.900000000000002</v>
      </c>
      <c r="J47" s="156">
        <v>308.39999999999998</v>
      </c>
      <c r="K47" s="156">
        <v>92.800000000000011</v>
      </c>
      <c r="Z47" s="86"/>
      <c r="AD47" s="86"/>
      <c r="AH47" s="86"/>
      <c r="CD47" s="80">
        <v>14</v>
      </c>
      <c r="CE47" s="80">
        <v>76.3</v>
      </c>
    </row>
    <row r="48" spans="1:85" x14ac:dyDescent="0.2">
      <c r="B48" s="156">
        <v>97.8</v>
      </c>
      <c r="C48" s="156">
        <v>28.799999999999997</v>
      </c>
      <c r="D48" s="20"/>
      <c r="E48" s="20"/>
      <c r="F48" s="156">
        <v>142.20000000000002</v>
      </c>
      <c r="G48" s="156">
        <v>18.3</v>
      </c>
      <c r="J48" s="156">
        <v>314.40000000000003</v>
      </c>
      <c r="K48" s="156">
        <v>101</v>
      </c>
      <c r="Z48" s="42"/>
      <c r="AD48" s="42"/>
      <c r="AH48" s="42"/>
      <c r="CD48" s="80">
        <v>15</v>
      </c>
      <c r="CE48" s="80">
        <v>79.7</v>
      </c>
    </row>
    <row r="49" spans="2:87" x14ac:dyDescent="0.2">
      <c r="B49" s="156">
        <v>107.4</v>
      </c>
      <c r="C49" s="156">
        <v>30.599999999999998</v>
      </c>
      <c r="D49" s="20"/>
      <c r="E49" s="20"/>
      <c r="F49" s="156">
        <v>151.79999999999998</v>
      </c>
      <c r="G49" s="156">
        <v>19.400000000000002</v>
      </c>
      <c r="J49" s="156">
        <v>311.40000000000003</v>
      </c>
      <c r="K49" s="156">
        <v>106</v>
      </c>
      <c r="Z49" s="33"/>
      <c r="AD49" s="33"/>
      <c r="AH49" s="33"/>
      <c r="AL49" t="s">
        <v>342</v>
      </c>
      <c r="AM49" t="s">
        <v>414</v>
      </c>
      <c r="AX49" s="80" t="s">
        <v>342</v>
      </c>
      <c r="AY49" s="80" t="s">
        <v>414</v>
      </c>
      <c r="BN49" s="80" t="s">
        <v>342</v>
      </c>
      <c r="BO49" s="80" t="s">
        <v>414</v>
      </c>
      <c r="CD49" s="80">
        <v>16</v>
      </c>
      <c r="CE49" s="80">
        <v>83.1</v>
      </c>
    </row>
    <row r="50" spans="2:87" x14ac:dyDescent="0.2">
      <c r="B50" s="156">
        <v>107.4</v>
      </c>
      <c r="C50" s="156">
        <v>32.700000000000003</v>
      </c>
      <c r="D50" s="20"/>
      <c r="E50" s="20"/>
      <c r="F50" s="156">
        <v>160.80000000000001</v>
      </c>
      <c r="G50" s="156">
        <v>20.5</v>
      </c>
      <c r="J50" s="156">
        <v>320.39999999999998</v>
      </c>
      <c r="K50" s="156">
        <v>107</v>
      </c>
      <c r="Z50" s="33"/>
      <c r="AD50" s="33"/>
      <c r="AH50" s="33"/>
      <c r="AL50" s="80">
        <v>-9.8300000000000004E-5</v>
      </c>
      <c r="AM50" s="80">
        <v>0</v>
      </c>
      <c r="AX50" s="80">
        <v>-9.8300000000000004E-5</v>
      </c>
      <c r="AY50" s="80">
        <v>0</v>
      </c>
      <c r="BN50" s="80">
        <v>0</v>
      </c>
      <c r="BO50" s="80">
        <v>0</v>
      </c>
      <c r="BV50" s="80" t="s">
        <v>342</v>
      </c>
      <c r="BW50" s="80" t="s">
        <v>414</v>
      </c>
      <c r="CA50" t="s">
        <v>342</v>
      </c>
      <c r="CB50" t="s">
        <v>414</v>
      </c>
      <c r="CD50" s="80">
        <v>17</v>
      </c>
      <c r="CE50" s="80">
        <v>85</v>
      </c>
    </row>
    <row r="51" spans="2:87" x14ac:dyDescent="0.2">
      <c r="B51" s="156">
        <v>113.39999999999999</v>
      </c>
      <c r="C51" s="156">
        <v>35.299999999999997</v>
      </c>
      <c r="D51" s="20"/>
      <c r="E51" s="20"/>
      <c r="F51" s="156">
        <v>167.4</v>
      </c>
      <c r="G51" s="156">
        <v>21.9</v>
      </c>
      <c r="J51" s="156">
        <v>333</v>
      </c>
      <c r="K51" s="156">
        <v>108</v>
      </c>
      <c r="AL51" s="80">
        <v>0.5</v>
      </c>
      <c r="AM51" s="80">
        <v>22.6</v>
      </c>
      <c r="AX51" s="80">
        <v>0.5</v>
      </c>
      <c r="AY51" s="80">
        <v>23.9</v>
      </c>
      <c r="BN51" s="80">
        <v>0.5</v>
      </c>
      <c r="BO51" s="80">
        <v>23.5</v>
      </c>
      <c r="BV51" s="80">
        <v>0</v>
      </c>
      <c r="BW51" s="80">
        <v>0.33100000000000002</v>
      </c>
      <c r="CA51" s="80">
        <v>2.0099999999999998</v>
      </c>
      <c r="CB51" s="80">
        <v>7.23</v>
      </c>
      <c r="CC51">
        <v>7.23</v>
      </c>
      <c r="CD51" s="80">
        <v>18</v>
      </c>
      <c r="CE51" s="80">
        <v>87.1</v>
      </c>
      <c r="CG51" s="80" t="s">
        <v>342</v>
      </c>
      <c r="CH51" s="80" t="s">
        <v>414</v>
      </c>
    </row>
    <row r="52" spans="2:87" x14ac:dyDescent="0.2">
      <c r="B52" s="156">
        <v>120</v>
      </c>
      <c r="C52" s="156">
        <v>37.4</v>
      </c>
      <c r="D52" s="20"/>
      <c r="E52" s="20"/>
      <c r="F52" s="156">
        <v>179.4</v>
      </c>
      <c r="G52" s="156">
        <v>23</v>
      </c>
      <c r="J52" s="156">
        <v>339</v>
      </c>
      <c r="K52" s="156">
        <v>108</v>
      </c>
      <c r="AL52" s="80">
        <v>1</v>
      </c>
      <c r="AM52" s="80">
        <v>36.4</v>
      </c>
      <c r="AX52" s="80">
        <v>1</v>
      </c>
      <c r="AY52" s="80">
        <v>37.700000000000003</v>
      </c>
      <c r="BN52" s="80">
        <v>1</v>
      </c>
      <c r="BO52" s="80">
        <v>37.299999999999997</v>
      </c>
      <c r="BV52" s="80">
        <v>0.25</v>
      </c>
      <c r="BW52" s="80">
        <v>75.5</v>
      </c>
      <c r="CA52" s="80">
        <v>4</v>
      </c>
      <c r="CB52" s="80">
        <v>5.1100000000000003</v>
      </c>
      <c r="CC52" s="80">
        <f>CB51+CB52</f>
        <v>12.34</v>
      </c>
      <c r="CD52" s="80">
        <v>19</v>
      </c>
      <c r="CE52" s="80">
        <v>89.2</v>
      </c>
      <c r="CG52" s="80">
        <v>1</v>
      </c>
      <c r="CH52" s="80">
        <v>3.17</v>
      </c>
      <c r="CI52" s="80"/>
    </row>
    <row r="53" spans="2:87" x14ac:dyDescent="0.2">
      <c r="B53" s="156">
        <v>126</v>
      </c>
      <c r="C53" s="156">
        <v>39.6</v>
      </c>
      <c r="D53" s="20"/>
      <c r="E53" s="20"/>
      <c r="F53" s="156">
        <v>189</v>
      </c>
      <c r="G53" s="156">
        <v>25.5</v>
      </c>
      <c r="J53" s="156">
        <v>345</v>
      </c>
      <c r="K53" s="156">
        <v>108</v>
      </c>
      <c r="AL53" s="80">
        <v>1.5</v>
      </c>
      <c r="AM53" s="80">
        <v>48.3</v>
      </c>
      <c r="AX53" s="80">
        <v>1.5</v>
      </c>
      <c r="AY53" s="80">
        <v>49.3</v>
      </c>
      <c r="BN53" s="80">
        <v>1.5</v>
      </c>
      <c r="BO53" s="80">
        <v>48.1</v>
      </c>
      <c r="BV53" s="80">
        <v>0.5</v>
      </c>
      <c r="BW53" s="80">
        <v>86.1</v>
      </c>
      <c r="CA53" s="80">
        <v>5.97</v>
      </c>
      <c r="CB53" s="80">
        <v>4.57</v>
      </c>
      <c r="CC53" s="80">
        <f>CB52+CC52</f>
        <v>17.45</v>
      </c>
      <c r="CD53" s="80">
        <v>20</v>
      </c>
      <c r="CE53" s="80">
        <v>90.2</v>
      </c>
      <c r="CG53" s="80">
        <v>2</v>
      </c>
      <c r="CH53" s="80">
        <v>9.5</v>
      </c>
      <c r="CI53" s="80"/>
    </row>
    <row r="54" spans="2:87" x14ac:dyDescent="0.2">
      <c r="B54" s="156">
        <v>132.6</v>
      </c>
      <c r="C54" s="156">
        <v>41.4</v>
      </c>
      <c r="D54" s="20"/>
      <c r="E54" s="20"/>
      <c r="F54" s="156">
        <v>204.60000000000002</v>
      </c>
      <c r="G54" s="156">
        <v>27</v>
      </c>
      <c r="J54" s="156">
        <v>370.2</v>
      </c>
      <c r="K54" s="156">
        <v>108</v>
      </c>
      <c r="AL54" s="80">
        <v>2</v>
      </c>
      <c r="AM54" s="80">
        <v>57.3</v>
      </c>
      <c r="AX54" s="80">
        <v>2</v>
      </c>
      <c r="AY54" s="80">
        <v>57.9</v>
      </c>
      <c r="BN54" s="80">
        <v>2</v>
      </c>
      <c r="BO54" s="80">
        <v>58.1</v>
      </c>
      <c r="BV54" s="80">
        <v>0.75</v>
      </c>
      <c r="BW54" s="80">
        <v>91.6</v>
      </c>
      <c r="CA54" s="80">
        <v>7.99</v>
      </c>
      <c r="CB54" s="80">
        <v>4.12</v>
      </c>
      <c r="CC54" s="80">
        <f t="shared" ref="CC54:CC60" si="1">CB53+CC53</f>
        <v>22.02</v>
      </c>
      <c r="CD54" s="80">
        <v>21</v>
      </c>
      <c r="CE54" s="80">
        <v>92.1</v>
      </c>
      <c r="CG54" s="80">
        <v>3</v>
      </c>
      <c r="CH54" s="80">
        <v>15.6</v>
      </c>
      <c r="CI54" s="80"/>
    </row>
    <row r="55" spans="2:87" x14ac:dyDescent="0.2">
      <c r="B55" s="156">
        <v>145.19999999999999</v>
      </c>
      <c r="C55" s="156">
        <v>43.2</v>
      </c>
      <c r="D55" s="20"/>
      <c r="E55" s="20"/>
      <c r="F55" s="156">
        <v>213.6</v>
      </c>
      <c r="G55" s="156">
        <v>28.4</v>
      </c>
      <c r="J55" s="20"/>
      <c r="AL55" s="80">
        <v>3</v>
      </c>
      <c r="AM55" s="80">
        <v>73.099999999999994</v>
      </c>
      <c r="AX55" s="80">
        <v>3</v>
      </c>
      <c r="AY55" s="80">
        <v>74.099999999999994</v>
      </c>
      <c r="BN55" s="80">
        <v>3</v>
      </c>
      <c r="BO55" s="80">
        <v>74</v>
      </c>
      <c r="BV55" s="80">
        <v>1</v>
      </c>
      <c r="BW55" s="80">
        <v>96.9</v>
      </c>
      <c r="CA55" s="80">
        <v>10</v>
      </c>
      <c r="CB55" s="80">
        <v>4.04</v>
      </c>
      <c r="CC55" s="80">
        <f t="shared" si="1"/>
        <v>26.14</v>
      </c>
      <c r="CD55" s="80">
        <v>22</v>
      </c>
      <c r="CE55" s="80">
        <v>92.1</v>
      </c>
      <c r="CG55" s="80">
        <v>4</v>
      </c>
      <c r="CH55" s="80">
        <v>21.1</v>
      </c>
      <c r="CI55" s="80"/>
    </row>
    <row r="56" spans="2:87" x14ac:dyDescent="0.2">
      <c r="B56" s="156">
        <v>151.19999999999999</v>
      </c>
      <c r="C56" s="156">
        <v>47.099999999999994</v>
      </c>
      <c r="D56" s="20"/>
      <c r="E56" s="20"/>
      <c r="F56" s="156">
        <v>223.20000000000002</v>
      </c>
      <c r="G56" s="156">
        <v>30.9</v>
      </c>
      <c r="J56" s="20"/>
      <c r="AL56" s="80">
        <v>4</v>
      </c>
      <c r="AM56" s="80">
        <v>86.2</v>
      </c>
      <c r="AX56" s="80">
        <v>4</v>
      </c>
      <c r="AY56" s="80">
        <v>86.9</v>
      </c>
      <c r="BN56" s="80">
        <v>4</v>
      </c>
      <c r="BO56" s="80">
        <v>87.1</v>
      </c>
      <c r="BV56" s="80">
        <v>2</v>
      </c>
      <c r="BW56" s="80">
        <v>99.8</v>
      </c>
      <c r="CA56" s="80">
        <v>12.1</v>
      </c>
      <c r="CB56" s="80">
        <v>3.64</v>
      </c>
      <c r="CC56" s="80">
        <f t="shared" si="1"/>
        <v>30.18</v>
      </c>
      <c r="CD56" s="80">
        <v>23</v>
      </c>
      <c r="CE56" s="80">
        <v>93.4</v>
      </c>
      <c r="CG56" s="80">
        <v>5</v>
      </c>
      <c r="CH56" s="80">
        <v>26.4</v>
      </c>
      <c r="CI56" s="80"/>
    </row>
    <row r="57" spans="2:87" x14ac:dyDescent="0.2">
      <c r="B57" s="156">
        <v>154.80000000000001</v>
      </c>
      <c r="C57" s="156">
        <v>49.6</v>
      </c>
      <c r="D57" s="20"/>
      <c r="E57" s="20"/>
      <c r="F57" s="156">
        <v>235.2</v>
      </c>
      <c r="G57" s="156">
        <v>32.700000000000003</v>
      </c>
      <c r="J57" s="20"/>
      <c r="Z57" t="s">
        <v>342</v>
      </c>
      <c r="AA57" t="s">
        <v>414</v>
      </c>
      <c r="AL57" s="80">
        <v>5</v>
      </c>
      <c r="AM57" s="80">
        <v>95</v>
      </c>
      <c r="AX57" s="80">
        <v>5</v>
      </c>
      <c r="AY57" s="80">
        <v>95.9</v>
      </c>
      <c r="BN57" s="80">
        <v>5</v>
      </c>
      <c r="BO57" s="80">
        <v>95.8</v>
      </c>
      <c r="BV57" s="80">
        <v>0</v>
      </c>
      <c r="BW57" s="80">
        <v>0.33100000000000002</v>
      </c>
      <c r="BX57" s="80"/>
      <c r="CA57" s="80">
        <v>14</v>
      </c>
      <c r="CB57" s="80">
        <v>3.47</v>
      </c>
      <c r="CC57" s="80">
        <f t="shared" si="1"/>
        <v>33.82</v>
      </c>
      <c r="CD57" s="80">
        <v>24</v>
      </c>
      <c r="CE57" s="80">
        <v>94.5</v>
      </c>
      <c r="CG57" s="80">
        <v>6</v>
      </c>
      <c r="CH57" s="80">
        <v>33.200000000000003</v>
      </c>
      <c r="CI57" s="80"/>
    </row>
    <row r="58" spans="2:87" x14ac:dyDescent="0.2">
      <c r="B58" s="156">
        <v>160.80000000000001</v>
      </c>
      <c r="C58" s="156">
        <v>51.800000000000004</v>
      </c>
      <c r="D58" s="20"/>
      <c r="E58" s="20"/>
      <c r="F58" s="156">
        <v>244.8</v>
      </c>
      <c r="G58" s="156">
        <v>34.200000000000003</v>
      </c>
      <c r="J58" s="20"/>
      <c r="Z58" s="80">
        <v>0</v>
      </c>
      <c r="AA58" s="80">
        <v>-1.81E-3</v>
      </c>
      <c r="AB58" s="80">
        <v>0</v>
      </c>
      <c r="AL58" s="80">
        <v>6</v>
      </c>
      <c r="AM58" s="80">
        <v>97.9</v>
      </c>
      <c r="AX58" s="80">
        <v>6</v>
      </c>
      <c r="AY58" s="80">
        <v>98</v>
      </c>
      <c r="BN58" s="80">
        <v>6</v>
      </c>
      <c r="BO58" s="80">
        <v>98.2</v>
      </c>
      <c r="BV58" s="80">
        <v>0.25</v>
      </c>
      <c r="BW58" s="80">
        <v>7.0999999999999943</v>
      </c>
      <c r="BX58" s="80"/>
      <c r="CA58" s="80">
        <v>16</v>
      </c>
      <c r="CB58" s="80">
        <v>3.07</v>
      </c>
      <c r="CC58" s="80">
        <f t="shared" si="1"/>
        <v>37.29</v>
      </c>
      <c r="CD58" s="156"/>
      <c r="CG58" s="80">
        <v>7</v>
      </c>
      <c r="CH58" s="80">
        <v>38.799999999999997</v>
      </c>
      <c r="CI58" s="80"/>
    </row>
    <row r="59" spans="2:87" x14ac:dyDescent="0.2">
      <c r="B59" s="156">
        <v>170.39999999999998</v>
      </c>
      <c r="C59" s="156">
        <v>53.6</v>
      </c>
      <c r="D59" s="20"/>
      <c r="E59" s="20"/>
      <c r="F59" s="156">
        <v>260.39999999999998</v>
      </c>
      <c r="G59" s="156">
        <v>35.6</v>
      </c>
      <c r="J59" s="20"/>
      <c r="Z59" s="80">
        <v>0.5</v>
      </c>
      <c r="AA59" s="80">
        <v>0.23</v>
      </c>
      <c r="AB59" s="80">
        <f t="shared" ref="AB59:AB93" si="2">100*AA59</f>
        <v>23</v>
      </c>
      <c r="AL59" s="80">
        <v>8</v>
      </c>
      <c r="AM59" s="80">
        <v>98.4</v>
      </c>
      <c r="AX59" s="80">
        <v>8</v>
      </c>
      <c r="AY59" s="80">
        <v>99.2</v>
      </c>
      <c r="BN59" s="80">
        <v>8</v>
      </c>
      <c r="BO59" s="80">
        <v>98.7</v>
      </c>
      <c r="BV59" s="80">
        <v>0.5</v>
      </c>
      <c r="BW59" s="80">
        <v>1.6999999999999886</v>
      </c>
      <c r="BX59" s="80"/>
      <c r="CA59" s="80">
        <v>17.899999999999999</v>
      </c>
      <c r="CB59" s="80">
        <v>2.8</v>
      </c>
      <c r="CC59" s="80">
        <f t="shared" si="1"/>
        <v>40.36</v>
      </c>
      <c r="CD59" s="156"/>
      <c r="CG59" s="80">
        <v>8</v>
      </c>
      <c r="CH59" s="80">
        <v>45.6</v>
      </c>
      <c r="CI59" s="80"/>
    </row>
    <row r="60" spans="2:87" x14ac:dyDescent="0.2">
      <c r="B60" s="156">
        <v>180</v>
      </c>
      <c r="C60" s="156">
        <v>55.000000000000007</v>
      </c>
      <c r="D60" s="20"/>
      <c r="E60" s="20"/>
      <c r="F60" s="156">
        <v>272.39999999999998</v>
      </c>
      <c r="G60" s="156">
        <v>36.700000000000003</v>
      </c>
      <c r="J60" s="20"/>
      <c r="Z60" s="80">
        <v>1</v>
      </c>
      <c r="AA60" s="80">
        <v>0.36599999999999999</v>
      </c>
      <c r="AB60" s="80">
        <f t="shared" si="2"/>
        <v>36.6</v>
      </c>
      <c r="AL60" s="80">
        <v>10</v>
      </c>
      <c r="AM60" s="80">
        <v>99.1</v>
      </c>
      <c r="AX60" s="80">
        <v>10</v>
      </c>
      <c r="AY60" s="80">
        <v>99.2</v>
      </c>
      <c r="BN60" s="80">
        <v>10</v>
      </c>
      <c r="BO60" s="80">
        <v>99</v>
      </c>
      <c r="BV60" s="80">
        <v>0.75</v>
      </c>
      <c r="BW60" s="80">
        <v>2.3999999999999915</v>
      </c>
      <c r="BX60" s="80"/>
      <c r="CA60" s="80">
        <v>20</v>
      </c>
      <c r="CB60" s="80">
        <v>1.94</v>
      </c>
      <c r="CC60" s="80">
        <f t="shared" si="1"/>
        <v>43.16</v>
      </c>
      <c r="CD60" s="156"/>
      <c r="CG60" s="80">
        <v>9</v>
      </c>
      <c r="CH60" s="80">
        <v>50.9</v>
      </c>
      <c r="CI60" s="80"/>
    </row>
    <row r="61" spans="2:87" x14ac:dyDescent="0.2">
      <c r="B61" s="156">
        <v>183</v>
      </c>
      <c r="C61" s="156">
        <v>56.8</v>
      </c>
      <c r="D61" s="20"/>
      <c r="E61" s="20"/>
      <c r="F61" s="246">
        <v>279</v>
      </c>
      <c r="G61" s="156">
        <v>37.4</v>
      </c>
      <c r="J61" s="20"/>
      <c r="Z61" s="80">
        <v>1.5</v>
      </c>
      <c r="AA61" s="80">
        <v>0.47499999999999998</v>
      </c>
      <c r="AB61" s="80">
        <f t="shared" si="2"/>
        <v>47.5</v>
      </c>
      <c r="AL61" s="80">
        <v>12</v>
      </c>
      <c r="AM61" s="80">
        <v>99.1</v>
      </c>
      <c r="AX61" s="80">
        <v>12</v>
      </c>
      <c r="AY61" s="80">
        <v>99.2</v>
      </c>
      <c r="BN61" s="80">
        <v>12</v>
      </c>
      <c r="BO61" s="80">
        <v>99.2</v>
      </c>
      <c r="BV61" s="80">
        <v>1</v>
      </c>
      <c r="BW61" s="80">
        <v>1.2000000000000028</v>
      </c>
      <c r="BX61" s="80"/>
      <c r="CG61" s="80">
        <v>10</v>
      </c>
      <c r="CH61" s="80">
        <v>57.5</v>
      </c>
      <c r="CI61" s="80"/>
    </row>
    <row r="62" spans="2:87" x14ac:dyDescent="0.2">
      <c r="B62" s="156">
        <v>189</v>
      </c>
      <c r="C62" s="156">
        <v>58.599999999999994</v>
      </c>
      <c r="D62" s="20"/>
      <c r="E62" s="20"/>
      <c r="F62" s="156">
        <v>288</v>
      </c>
      <c r="G62" s="156">
        <v>38.800000000000004</v>
      </c>
      <c r="J62" s="20"/>
      <c r="Z62" s="80">
        <v>2</v>
      </c>
      <c r="AA62" s="80">
        <v>0.57299999999999995</v>
      </c>
      <c r="AB62" s="80">
        <f t="shared" si="2"/>
        <v>57.3</v>
      </c>
      <c r="AL62" s="80">
        <v>-9.8300000000000004E-5</v>
      </c>
      <c r="AM62" s="80">
        <v>0</v>
      </c>
      <c r="AX62" s="80">
        <v>-9.8300000000000004E-5</v>
      </c>
      <c r="AY62" s="80">
        <v>0</v>
      </c>
      <c r="BN62" s="80">
        <v>0</v>
      </c>
      <c r="BO62" s="80">
        <v>0</v>
      </c>
      <c r="BV62" s="80">
        <v>2</v>
      </c>
      <c r="BW62" s="80">
        <v>1.5</v>
      </c>
      <c r="BX62" s="80"/>
      <c r="CG62" s="80">
        <v>11</v>
      </c>
      <c r="CH62" s="80">
        <v>61.5</v>
      </c>
      <c r="CI62" s="80"/>
    </row>
    <row r="63" spans="2:87" x14ac:dyDescent="0.2">
      <c r="B63" s="156">
        <v>189</v>
      </c>
      <c r="C63" s="156">
        <v>59.699999999999996</v>
      </c>
      <c r="D63" s="20"/>
      <c r="E63" s="20"/>
      <c r="F63" s="156">
        <v>306.60000000000002</v>
      </c>
      <c r="G63" s="156">
        <v>41</v>
      </c>
      <c r="J63" s="20"/>
      <c r="Z63" s="80">
        <v>3</v>
      </c>
      <c r="AA63" s="80">
        <v>0.74</v>
      </c>
      <c r="AB63" s="80">
        <f t="shared" si="2"/>
        <v>74</v>
      </c>
      <c r="AL63" s="80">
        <v>0.5</v>
      </c>
      <c r="AM63" s="80">
        <v>17.7</v>
      </c>
      <c r="AX63" s="80">
        <v>0.5</v>
      </c>
      <c r="AY63" s="80">
        <v>18.8</v>
      </c>
      <c r="BN63" s="80">
        <v>0.5</v>
      </c>
      <c r="BO63" s="80">
        <v>18.600000000000001</v>
      </c>
      <c r="CG63" s="80">
        <v>12</v>
      </c>
      <c r="CH63" s="80">
        <v>67.3</v>
      </c>
      <c r="CI63" s="80"/>
    </row>
    <row r="64" spans="2:87" x14ac:dyDescent="0.2">
      <c r="B64" s="156">
        <v>192.6</v>
      </c>
      <c r="C64" s="156">
        <v>61.199999999999996</v>
      </c>
      <c r="D64" s="20"/>
      <c r="E64" s="20"/>
      <c r="F64" s="156">
        <v>312.60000000000002</v>
      </c>
      <c r="G64" s="156">
        <v>42.4</v>
      </c>
      <c r="J64" s="20"/>
      <c r="Z64" s="80">
        <v>4</v>
      </c>
      <c r="AA64" s="80">
        <v>0.86599999999999999</v>
      </c>
      <c r="AB64" s="80">
        <f t="shared" si="2"/>
        <v>86.6</v>
      </c>
      <c r="AL64" s="80">
        <v>1</v>
      </c>
      <c r="AM64" s="80">
        <v>27</v>
      </c>
      <c r="AX64" s="80">
        <v>1</v>
      </c>
      <c r="AY64" s="80">
        <v>28.2</v>
      </c>
      <c r="BN64" s="80">
        <v>1</v>
      </c>
      <c r="BO64" s="80">
        <v>28.3</v>
      </c>
      <c r="CG64" s="80">
        <v>13</v>
      </c>
      <c r="CH64" s="80">
        <v>71.2</v>
      </c>
      <c r="CI64" s="80"/>
    </row>
    <row r="65" spans="2:87" x14ac:dyDescent="0.2">
      <c r="B65" s="156">
        <v>195.6</v>
      </c>
      <c r="C65" s="156">
        <v>62.9</v>
      </c>
      <c r="D65" s="20"/>
      <c r="E65" s="20"/>
      <c r="F65" s="156">
        <v>346.8</v>
      </c>
      <c r="G65" s="156">
        <v>45.7</v>
      </c>
      <c r="J65" s="20"/>
      <c r="Z65" s="80">
        <v>5</v>
      </c>
      <c r="AA65" s="80">
        <v>0.95699999999999996</v>
      </c>
      <c r="AB65" s="80">
        <f t="shared" si="2"/>
        <v>95.7</v>
      </c>
      <c r="AL65" s="80">
        <v>1.5</v>
      </c>
      <c r="AM65" s="80">
        <v>35</v>
      </c>
      <c r="AX65" s="80">
        <v>1.5</v>
      </c>
      <c r="AY65" s="80">
        <v>36.5</v>
      </c>
      <c r="BN65" s="80">
        <v>1.5</v>
      </c>
      <c r="BO65" s="80">
        <v>36</v>
      </c>
      <c r="CG65" s="80">
        <v>14</v>
      </c>
      <c r="CH65" s="80">
        <v>76.3</v>
      </c>
      <c r="CI65" s="80"/>
    </row>
    <row r="66" spans="2:87" ht="15" x14ac:dyDescent="0.25">
      <c r="B66" s="156">
        <v>202.20000000000002</v>
      </c>
      <c r="C66" s="156">
        <v>65.8</v>
      </c>
      <c r="D66" s="20"/>
      <c r="E66" s="20"/>
      <c r="F66" s="156">
        <v>346.8</v>
      </c>
      <c r="G66" s="156">
        <v>48.199999999999996</v>
      </c>
      <c r="J66" s="181"/>
      <c r="Z66" s="80">
        <v>6</v>
      </c>
      <c r="AA66" s="80">
        <v>0.97899999999999998</v>
      </c>
      <c r="AB66" s="80">
        <f t="shared" si="2"/>
        <v>97.899999999999991</v>
      </c>
      <c r="AL66" s="80">
        <v>2</v>
      </c>
      <c r="AM66" s="80">
        <v>42.5</v>
      </c>
      <c r="AX66" s="80">
        <v>2</v>
      </c>
      <c r="AY66" s="80">
        <v>43.2</v>
      </c>
      <c r="BN66" s="80">
        <v>2</v>
      </c>
      <c r="BO66" s="80">
        <v>43.1</v>
      </c>
      <c r="CG66" s="80">
        <v>15</v>
      </c>
      <c r="CH66" s="80">
        <v>79.7</v>
      </c>
      <c r="CI66" s="80"/>
    </row>
    <row r="67" spans="2:87" x14ac:dyDescent="0.2">
      <c r="B67" s="156">
        <v>208.20000000000002</v>
      </c>
      <c r="C67" s="156">
        <v>67.300000000000011</v>
      </c>
      <c r="D67" s="20"/>
      <c r="E67" s="20"/>
      <c r="F67" s="246">
        <v>356.40000000000003</v>
      </c>
      <c r="G67" s="156">
        <v>51.1</v>
      </c>
      <c r="J67" s="20"/>
      <c r="K67" s="191"/>
      <c r="Z67" s="80">
        <v>8</v>
      </c>
      <c r="AA67" s="80">
        <v>0.99199999999999999</v>
      </c>
      <c r="AB67" s="80">
        <f t="shared" si="2"/>
        <v>99.2</v>
      </c>
      <c r="AL67" s="80">
        <v>3</v>
      </c>
      <c r="AM67" s="80">
        <v>54.4</v>
      </c>
      <c r="AX67" s="80">
        <v>3</v>
      </c>
      <c r="AY67" s="80">
        <v>55.3</v>
      </c>
      <c r="BN67" s="80">
        <v>3</v>
      </c>
      <c r="BO67" s="80">
        <v>55.2</v>
      </c>
      <c r="CG67" s="80">
        <v>16</v>
      </c>
      <c r="CH67" s="80">
        <v>83.1</v>
      </c>
      <c r="CI67" s="80"/>
    </row>
    <row r="68" spans="2:87" x14ac:dyDescent="0.2">
      <c r="B68" s="156">
        <v>217.79999999999998</v>
      </c>
      <c r="C68" s="156">
        <v>68.300000000000011</v>
      </c>
      <c r="D68" s="20"/>
      <c r="E68" s="20"/>
      <c r="F68" s="246">
        <v>365.4</v>
      </c>
      <c r="G68" s="156">
        <v>51.800000000000004</v>
      </c>
      <c r="J68" s="20"/>
      <c r="Z68" s="80">
        <v>10</v>
      </c>
      <c r="AA68" s="80">
        <v>0.98699999999999999</v>
      </c>
      <c r="AB68" s="80">
        <f t="shared" si="2"/>
        <v>98.7</v>
      </c>
      <c r="AL68" s="80">
        <v>4</v>
      </c>
      <c r="AM68" s="80">
        <v>63.6</v>
      </c>
      <c r="AX68" s="80">
        <v>4</v>
      </c>
      <c r="AY68" s="80">
        <v>64.7</v>
      </c>
      <c r="BN68" s="80">
        <v>4</v>
      </c>
      <c r="BO68" s="80">
        <v>64.8</v>
      </c>
      <c r="CG68" s="80">
        <v>17</v>
      </c>
      <c r="CH68" s="80">
        <v>85</v>
      </c>
      <c r="CI68" s="80"/>
    </row>
    <row r="69" spans="2:87" x14ac:dyDescent="0.2">
      <c r="B69" s="156">
        <v>226.79999999999998</v>
      </c>
      <c r="C69" s="156">
        <v>70.899999999999991</v>
      </c>
      <c r="D69" s="20"/>
      <c r="E69" s="20"/>
      <c r="F69" s="156">
        <v>378</v>
      </c>
      <c r="G69" s="156">
        <v>54</v>
      </c>
      <c r="J69" s="20"/>
      <c r="Z69" s="80">
        <v>12</v>
      </c>
      <c r="AA69" s="80">
        <v>0.997</v>
      </c>
      <c r="AB69" s="80">
        <f t="shared" si="2"/>
        <v>99.7</v>
      </c>
      <c r="AL69" s="80">
        <v>5</v>
      </c>
      <c r="AM69" s="80">
        <v>72.099999999999994</v>
      </c>
      <c r="AX69" s="80">
        <v>5</v>
      </c>
      <c r="AY69" s="80">
        <v>73.2</v>
      </c>
      <c r="BN69" s="80">
        <v>5</v>
      </c>
      <c r="BO69" s="80">
        <v>72.8</v>
      </c>
      <c r="CG69" s="80">
        <v>18</v>
      </c>
      <c r="CH69" s="80">
        <v>87.1</v>
      </c>
      <c r="CI69" s="80"/>
    </row>
    <row r="70" spans="2:87" x14ac:dyDescent="0.2">
      <c r="B70" s="156">
        <v>227.4</v>
      </c>
      <c r="C70" s="156">
        <v>73.400000000000006</v>
      </c>
      <c r="D70" s="20"/>
      <c r="E70" s="20"/>
      <c r="F70" s="156">
        <v>393</v>
      </c>
      <c r="G70" s="156">
        <v>54.7</v>
      </c>
      <c r="J70" s="20"/>
      <c r="Z70" s="80">
        <v>0</v>
      </c>
      <c r="AA70" s="80">
        <v>-3.62E-3</v>
      </c>
      <c r="AB70" s="80">
        <v>0</v>
      </c>
      <c r="AL70" s="80">
        <v>6</v>
      </c>
      <c r="AM70" s="80">
        <v>79.400000000000006</v>
      </c>
      <c r="AX70" s="80">
        <v>6</v>
      </c>
      <c r="AY70" s="80">
        <v>79.900000000000006</v>
      </c>
      <c r="BN70" s="80">
        <v>6</v>
      </c>
      <c r="BO70" s="80">
        <v>79.8</v>
      </c>
      <c r="CG70" s="80">
        <v>19</v>
      </c>
      <c r="CH70" s="80">
        <v>89.2</v>
      </c>
      <c r="CI70" s="80"/>
    </row>
    <row r="71" spans="2:87" x14ac:dyDescent="0.2">
      <c r="B71" s="156">
        <v>236.4</v>
      </c>
      <c r="C71" s="156">
        <v>74.5</v>
      </c>
      <c r="D71" s="20"/>
      <c r="E71" s="20"/>
      <c r="F71" s="156">
        <v>399.6</v>
      </c>
      <c r="G71" s="156">
        <v>55.800000000000004</v>
      </c>
      <c r="J71" s="20"/>
      <c r="Z71" s="80">
        <v>0.5</v>
      </c>
      <c r="AA71" s="80">
        <v>0.17399999999999999</v>
      </c>
      <c r="AB71" s="80">
        <f t="shared" si="2"/>
        <v>17.399999999999999</v>
      </c>
      <c r="AL71" s="80">
        <v>8</v>
      </c>
      <c r="AM71" s="80">
        <v>89.9</v>
      </c>
      <c r="AX71" s="80">
        <v>8</v>
      </c>
      <c r="AY71" s="80">
        <v>89.8</v>
      </c>
      <c r="BN71" s="80">
        <v>8</v>
      </c>
      <c r="BO71" s="80">
        <v>89.5</v>
      </c>
      <c r="CG71" s="80">
        <v>20</v>
      </c>
      <c r="CH71" s="80">
        <v>90.2</v>
      </c>
      <c r="CI71" s="80"/>
    </row>
    <row r="72" spans="2:87" x14ac:dyDescent="0.2">
      <c r="B72" s="156">
        <v>236.4</v>
      </c>
      <c r="C72" s="156">
        <v>75.5</v>
      </c>
      <c r="D72" s="20"/>
      <c r="E72" s="20"/>
      <c r="F72" s="156">
        <v>411.6</v>
      </c>
      <c r="G72" s="156">
        <v>56.8</v>
      </c>
      <c r="J72" s="20"/>
      <c r="K72" s="191"/>
      <c r="Z72" s="80">
        <v>1</v>
      </c>
      <c r="AA72" s="80">
        <v>0.27400000000000002</v>
      </c>
      <c r="AB72" s="80">
        <f t="shared" si="2"/>
        <v>27.400000000000002</v>
      </c>
      <c r="AL72" s="80">
        <v>10</v>
      </c>
      <c r="AM72" s="80">
        <v>95</v>
      </c>
      <c r="AX72" s="80">
        <v>10</v>
      </c>
      <c r="AY72" s="80">
        <v>95.9</v>
      </c>
      <c r="BN72" s="80">
        <v>10</v>
      </c>
      <c r="BO72" s="80">
        <v>95.1</v>
      </c>
      <c r="CG72" s="80">
        <v>21</v>
      </c>
      <c r="CH72" s="80">
        <v>92.1</v>
      </c>
      <c r="CI72" s="80"/>
    </row>
    <row r="73" spans="2:87" x14ac:dyDescent="0.2">
      <c r="B73" s="156">
        <v>245.99999999999997</v>
      </c>
      <c r="C73" s="156">
        <v>78.400000000000006</v>
      </c>
      <c r="D73" s="20"/>
      <c r="E73" s="20"/>
      <c r="F73" s="156">
        <v>424.20000000000005</v>
      </c>
      <c r="G73" s="156">
        <v>58.3</v>
      </c>
      <c r="J73" s="20"/>
      <c r="Z73" s="80">
        <v>1.5</v>
      </c>
      <c r="AA73" s="80">
        <v>0.35199999999999998</v>
      </c>
      <c r="AB73" s="80">
        <f t="shared" si="2"/>
        <v>35.199999999999996</v>
      </c>
      <c r="AL73" s="80">
        <v>12</v>
      </c>
      <c r="AM73" s="80">
        <v>96.7</v>
      </c>
      <c r="AX73" s="80">
        <v>12</v>
      </c>
      <c r="AY73" s="80">
        <v>96.3</v>
      </c>
      <c r="BN73" s="80">
        <v>12</v>
      </c>
      <c r="BO73" s="80">
        <v>96.3</v>
      </c>
      <c r="CG73" s="80">
        <v>22</v>
      </c>
      <c r="CH73" s="80">
        <v>92.1</v>
      </c>
      <c r="CI73" s="80"/>
    </row>
    <row r="74" spans="2:87" x14ac:dyDescent="0.2">
      <c r="B74" s="156">
        <v>252.6</v>
      </c>
      <c r="C74" s="156">
        <v>79.900000000000006</v>
      </c>
      <c r="D74" s="20"/>
      <c r="E74" s="20"/>
      <c r="F74" s="156">
        <v>436.8</v>
      </c>
      <c r="G74" s="156">
        <v>59.699999999999996</v>
      </c>
      <c r="J74" s="20"/>
      <c r="Z74" s="80">
        <v>2</v>
      </c>
      <c r="AA74" s="80">
        <v>0.42299999999999999</v>
      </c>
      <c r="AB74" s="80">
        <f t="shared" si="2"/>
        <v>42.3</v>
      </c>
      <c r="AL74" s="80">
        <v>-9.8300000000000004E-5</v>
      </c>
      <c r="AM74" s="80">
        <v>0</v>
      </c>
      <c r="AX74" s="80">
        <v>-9.8300000000000004E-5</v>
      </c>
      <c r="AY74" s="80">
        <v>0</v>
      </c>
      <c r="BN74" s="80">
        <v>0</v>
      </c>
      <c r="BO74" s="80">
        <v>0</v>
      </c>
      <c r="CG74" s="80">
        <v>23</v>
      </c>
      <c r="CH74" s="80">
        <v>93.4</v>
      </c>
      <c r="CI74" s="80"/>
    </row>
    <row r="75" spans="2:87" x14ac:dyDescent="0.2">
      <c r="B75" s="156">
        <v>255.6</v>
      </c>
      <c r="C75" s="156">
        <v>80.600000000000009</v>
      </c>
      <c r="D75" s="20"/>
      <c r="E75" s="20"/>
      <c r="F75" s="156">
        <v>448.8</v>
      </c>
      <c r="G75" s="156">
        <v>60.8</v>
      </c>
      <c r="J75" s="20"/>
      <c r="Z75" s="80">
        <v>3</v>
      </c>
      <c r="AA75" s="80">
        <v>0.54500000000000004</v>
      </c>
      <c r="AB75" s="80">
        <f t="shared" si="2"/>
        <v>54.500000000000007</v>
      </c>
      <c r="AL75" s="80">
        <v>0.5</v>
      </c>
      <c r="AM75" s="80">
        <v>13.4</v>
      </c>
      <c r="AX75" s="80">
        <v>0.5</v>
      </c>
      <c r="AY75" s="80">
        <v>14.5</v>
      </c>
      <c r="BN75" s="80">
        <v>0.5</v>
      </c>
      <c r="BO75" s="80">
        <v>14.5</v>
      </c>
      <c r="CG75" s="80">
        <v>24</v>
      </c>
      <c r="CH75" s="80">
        <v>94.5</v>
      </c>
      <c r="CI75" s="80"/>
    </row>
    <row r="76" spans="2:87" x14ac:dyDescent="0.2">
      <c r="B76" s="156">
        <v>255.6</v>
      </c>
      <c r="C76" s="156">
        <v>81.3</v>
      </c>
      <c r="D76" s="20"/>
      <c r="E76" s="20"/>
      <c r="F76" s="156">
        <v>448.8</v>
      </c>
      <c r="G76" s="156">
        <v>61.9</v>
      </c>
      <c r="J76" s="20"/>
      <c r="Z76" s="80">
        <v>4</v>
      </c>
      <c r="AA76" s="80">
        <v>0.64100000000000001</v>
      </c>
      <c r="AB76" s="80">
        <f t="shared" si="2"/>
        <v>64.099999999999994</v>
      </c>
      <c r="AL76" s="80">
        <v>1</v>
      </c>
      <c r="AM76" s="80">
        <v>21.9</v>
      </c>
      <c r="AX76" s="80">
        <v>1</v>
      </c>
      <c r="AY76" s="80">
        <v>22.7</v>
      </c>
      <c r="BN76" s="80">
        <v>1</v>
      </c>
      <c r="BO76" s="80">
        <v>22.5</v>
      </c>
    </row>
    <row r="77" spans="2:87" x14ac:dyDescent="0.2">
      <c r="B77" s="156">
        <v>261.60000000000002</v>
      </c>
      <c r="C77" s="156">
        <v>82</v>
      </c>
      <c r="D77" s="20"/>
      <c r="E77" s="20"/>
      <c r="F77" s="156">
        <v>458.4</v>
      </c>
      <c r="G77" s="156">
        <v>62.9</v>
      </c>
      <c r="J77" s="20"/>
      <c r="Z77" s="80">
        <v>5.04</v>
      </c>
      <c r="AA77" s="80">
        <v>0.72299999999999998</v>
      </c>
      <c r="AB77" s="80">
        <f t="shared" si="2"/>
        <v>72.3</v>
      </c>
      <c r="AL77" s="80">
        <v>1.5</v>
      </c>
      <c r="AM77" s="80">
        <v>27.7</v>
      </c>
      <c r="AX77" s="80">
        <v>1.5</v>
      </c>
      <c r="AY77" s="80">
        <v>29.2</v>
      </c>
      <c r="BN77" s="80">
        <v>1.5</v>
      </c>
      <c r="BO77" s="80">
        <v>28.8</v>
      </c>
    </row>
    <row r="78" spans="2:87" x14ac:dyDescent="0.2">
      <c r="B78" s="156">
        <v>274.20000000000005</v>
      </c>
      <c r="C78" s="156">
        <v>84.5</v>
      </c>
      <c r="D78" s="20"/>
      <c r="E78" s="20"/>
      <c r="F78" s="156">
        <v>489.6</v>
      </c>
      <c r="G78" s="156">
        <v>65.5</v>
      </c>
      <c r="J78" s="192"/>
      <c r="Z78" s="80">
        <v>6</v>
      </c>
      <c r="AA78" s="80">
        <v>0.79200000000000004</v>
      </c>
      <c r="AB78" s="80">
        <f t="shared" si="2"/>
        <v>79.2</v>
      </c>
      <c r="AL78" s="80">
        <v>2</v>
      </c>
      <c r="AM78" s="80">
        <v>34</v>
      </c>
      <c r="AX78" s="80">
        <v>2</v>
      </c>
      <c r="AY78" s="80">
        <v>34.799999999999997</v>
      </c>
      <c r="BN78" s="80">
        <v>2</v>
      </c>
      <c r="BO78" s="80">
        <v>34.6</v>
      </c>
    </row>
    <row r="79" spans="2:87" x14ac:dyDescent="0.2">
      <c r="B79" s="156">
        <v>280.79999999999995</v>
      </c>
      <c r="C79" s="156">
        <v>85.6</v>
      </c>
      <c r="D79" s="20"/>
      <c r="E79" s="20"/>
      <c r="F79" s="156">
        <v>489.6</v>
      </c>
      <c r="G79" s="156">
        <v>67.600000000000009</v>
      </c>
      <c r="J79" s="20"/>
      <c r="Z79" s="80">
        <v>8</v>
      </c>
      <c r="AA79" s="80">
        <v>0.89600000000000002</v>
      </c>
      <c r="AB79" s="80">
        <f t="shared" si="2"/>
        <v>89.600000000000009</v>
      </c>
      <c r="AL79" s="80">
        <v>3</v>
      </c>
      <c r="AM79" s="80">
        <v>43.5</v>
      </c>
      <c r="AX79" s="80">
        <v>3</v>
      </c>
      <c r="AY79" s="80">
        <v>44.4</v>
      </c>
      <c r="BN79" s="80">
        <v>3</v>
      </c>
      <c r="BO79" s="80">
        <v>44.5</v>
      </c>
    </row>
    <row r="80" spans="2:87" x14ac:dyDescent="0.2">
      <c r="B80" s="156">
        <v>286.8</v>
      </c>
      <c r="C80" s="156">
        <v>87.4</v>
      </c>
      <c r="D80" s="20"/>
      <c r="E80" s="20"/>
      <c r="F80" s="156">
        <v>498.6</v>
      </c>
      <c r="G80" s="156">
        <v>68.7</v>
      </c>
      <c r="J80" s="20"/>
      <c r="Z80" s="80">
        <v>10</v>
      </c>
      <c r="AA80" s="80">
        <v>0.95099999999999996</v>
      </c>
      <c r="AB80" s="80">
        <f t="shared" si="2"/>
        <v>95.1</v>
      </c>
      <c r="AL80" s="80">
        <v>4</v>
      </c>
      <c r="AM80" s="80">
        <v>52</v>
      </c>
      <c r="AX80" s="80">
        <v>4</v>
      </c>
      <c r="AY80" s="80">
        <v>53.4</v>
      </c>
      <c r="BN80" s="80">
        <v>4</v>
      </c>
      <c r="BO80" s="80">
        <v>53</v>
      </c>
    </row>
    <row r="81" spans="2:67" x14ac:dyDescent="0.2">
      <c r="B81" s="156">
        <v>289.8</v>
      </c>
      <c r="C81" s="156">
        <v>88.5</v>
      </c>
      <c r="D81" s="20"/>
      <c r="E81" s="20"/>
      <c r="F81" s="156">
        <v>504.6</v>
      </c>
      <c r="G81" s="156">
        <v>70.099999999999994</v>
      </c>
      <c r="J81" s="20"/>
      <c r="Z81" s="80">
        <v>12</v>
      </c>
      <c r="AA81" s="80">
        <v>0.96399999999999997</v>
      </c>
      <c r="AB81" s="80">
        <f t="shared" si="2"/>
        <v>96.399999999999991</v>
      </c>
      <c r="AL81" s="80">
        <v>5</v>
      </c>
      <c r="AM81" s="80">
        <v>59.3</v>
      </c>
      <c r="AX81" s="80">
        <v>5</v>
      </c>
      <c r="AY81" s="80">
        <v>60.4</v>
      </c>
      <c r="BN81" s="80">
        <v>5</v>
      </c>
      <c r="BO81" s="80">
        <v>60.2</v>
      </c>
    </row>
    <row r="82" spans="2:67" x14ac:dyDescent="0.2">
      <c r="B82" s="156">
        <v>293.39999999999998</v>
      </c>
      <c r="C82" s="156">
        <v>90.3</v>
      </c>
      <c r="D82" s="20"/>
      <c r="E82" s="20"/>
      <c r="F82" s="156">
        <v>517.19999999999993</v>
      </c>
      <c r="G82" s="156">
        <v>71.2</v>
      </c>
      <c r="J82" s="20"/>
      <c r="Z82" s="80">
        <v>0</v>
      </c>
      <c r="AA82" s="80">
        <v>-5.4299999999999999E-3</v>
      </c>
      <c r="AB82" s="80">
        <v>0</v>
      </c>
      <c r="AL82" s="80">
        <v>6</v>
      </c>
      <c r="AM82" s="80">
        <v>66.3</v>
      </c>
      <c r="AX82" s="80">
        <v>6</v>
      </c>
      <c r="AY82" s="80">
        <v>67.400000000000006</v>
      </c>
      <c r="BN82" s="80">
        <v>6</v>
      </c>
      <c r="BO82" s="80">
        <v>67</v>
      </c>
    </row>
    <row r="83" spans="2:67" x14ac:dyDescent="0.2">
      <c r="B83" s="156">
        <v>296.40000000000003</v>
      </c>
      <c r="C83" s="156">
        <v>91</v>
      </c>
      <c r="D83" s="20"/>
      <c r="E83" s="20"/>
      <c r="F83" s="156">
        <v>532.80000000000007</v>
      </c>
      <c r="G83" s="156">
        <v>72.7</v>
      </c>
      <c r="J83" s="20"/>
      <c r="Z83" s="80">
        <v>0.5</v>
      </c>
      <c r="AA83" s="80">
        <v>0.13600000000000001</v>
      </c>
      <c r="AB83" s="80">
        <f t="shared" si="2"/>
        <v>13.600000000000001</v>
      </c>
      <c r="AL83" s="80">
        <v>8</v>
      </c>
      <c r="AM83" s="80">
        <v>77.7</v>
      </c>
      <c r="AX83" s="80">
        <v>8</v>
      </c>
      <c r="AY83" s="80">
        <v>77.7</v>
      </c>
      <c r="BN83" s="80">
        <v>8</v>
      </c>
      <c r="BO83" s="80">
        <v>77.900000000000006</v>
      </c>
    </row>
    <row r="84" spans="2:67" x14ac:dyDescent="0.2">
      <c r="B84" s="156">
        <v>303</v>
      </c>
      <c r="C84" s="156">
        <v>93.2</v>
      </c>
      <c r="D84" s="20"/>
      <c r="E84" s="20"/>
      <c r="F84" s="156">
        <v>548.40000000000009</v>
      </c>
      <c r="G84" s="156">
        <v>75.2</v>
      </c>
      <c r="J84" s="20"/>
      <c r="Z84" s="80">
        <v>1</v>
      </c>
      <c r="AA84" s="80">
        <v>0.216</v>
      </c>
      <c r="AB84" s="80">
        <f t="shared" si="2"/>
        <v>21.6</v>
      </c>
      <c r="AL84" s="80">
        <v>10</v>
      </c>
      <c r="AM84" s="80">
        <v>86.7</v>
      </c>
      <c r="AX84" s="80">
        <v>10</v>
      </c>
      <c r="AY84" s="80">
        <v>87.4</v>
      </c>
      <c r="BN84" s="80">
        <v>10</v>
      </c>
      <c r="BO84" s="80">
        <v>86.9</v>
      </c>
    </row>
    <row r="85" spans="2:67" x14ac:dyDescent="0.2">
      <c r="B85" s="156">
        <v>303</v>
      </c>
      <c r="C85" s="156">
        <v>94.199999999999989</v>
      </c>
      <c r="D85" s="20"/>
      <c r="E85" s="20"/>
      <c r="F85" s="156">
        <v>554.4</v>
      </c>
      <c r="G85" s="156">
        <v>77.3</v>
      </c>
      <c r="J85" s="20"/>
      <c r="Z85" s="80">
        <v>1.5</v>
      </c>
      <c r="AA85" s="80">
        <v>0.28000000000000003</v>
      </c>
      <c r="AB85" s="80">
        <f t="shared" si="2"/>
        <v>28.000000000000004</v>
      </c>
      <c r="AL85" s="80">
        <v>12</v>
      </c>
      <c r="AM85" s="80">
        <v>94</v>
      </c>
      <c r="AX85" s="80">
        <v>12</v>
      </c>
      <c r="AY85" s="80">
        <v>93.9</v>
      </c>
      <c r="BN85" s="80">
        <v>12</v>
      </c>
      <c r="BO85" s="80">
        <v>93.6</v>
      </c>
    </row>
    <row r="86" spans="2:67" x14ac:dyDescent="0.2">
      <c r="B86" s="156">
        <v>309</v>
      </c>
      <c r="C86" s="156">
        <v>95.7</v>
      </c>
      <c r="D86" s="20"/>
      <c r="E86" s="20"/>
      <c r="F86" s="156">
        <v>576</v>
      </c>
      <c r="G86" s="156">
        <v>80.2</v>
      </c>
      <c r="J86" s="20"/>
      <c r="Z86" s="80">
        <v>2</v>
      </c>
      <c r="AA86" s="80">
        <v>0.33800000000000002</v>
      </c>
      <c r="AB86" s="80">
        <f t="shared" si="2"/>
        <v>33.800000000000004</v>
      </c>
    </row>
    <row r="87" spans="2:67" x14ac:dyDescent="0.2">
      <c r="B87" s="156">
        <v>315</v>
      </c>
      <c r="C87" s="156">
        <v>96.399999999999991</v>
      </c>
      <c r="D87" s="20"/>
      <c r="E87" s="20"/>
      <c r="F87" s="156">
        <v>591.59999999999991</v>
      </c>
      <c r="G87" s="156">
        <v>82</v>
      </c>
      <c r="J87" s="20"/>
      <c r="Z87" s="80">
        <v>3</v>
      </c>
      <c r="AA87" s="80">
        <v>0.436</v>
      </c>
      <c r="AB87" s="80">
        <f t="shared" si="2"/>
        <v>43.6</v>
      </c>
    </row>
    <row r="88" spans="2:67" x14ac:dyDescent="0.2">
      <c r="B88" s="156">
        <v>318.59999999999997</v>
      </c>
      <c r="C88" s="156">
        <v>97.5</v>
      </c>
      <c r="D88" s="20"/>
      <c r="E88" s="20"/>
      <c r="F88" s="156">
        <v>606</v>
      </c>
      <c r="G88" s="156">
        <v>83.5</v>
      </c>
      <c r="J88" s="20"/>
      <c r="Z88" s="80">
        <v>4</v>
      </c>
      <c r="AA88" s="80">
        <v>0.52100000000000002</v>
      </c>
      <c r="AB88" s="80">
        <f t="shared" si="2"/>
        <v>52.1</v>
      </c>
    </row>
    <row r="89" spans="2:67" x14ac:dyDescent="0.2">
      <c r="B89" s="156">
        <v>324.60000000000002</v>
      </c>
      <c r="C89" s="156">
        <v>98.6</v>
      </c>
      <c r="D89" s="20"/>
      <c r="E89" s="20"/>
      <c r="F89" s="156">
        <v>618</v>
      </c>
      <c r="G89" s="156">
        <v>85.3</v>
      </c>
      <c r="J89" s="192"/>
      <c r="Z89" s="80">
        <v>5.04</v>
      </c>
      <c r="AA89" s="80">
        <v>0.59399999999999997</v>
      </c>
      <c r="AB89" s="80">
        <f t="shared" si="2"/>
        <v>59.4</v>
      </c>
    </row>
    <row r="90" spans="2:67" x14ac:dyDescent="0.2">
      <c r="B90" s="156">
        <v>334.20000000000005</v>
      </c>
      <c r="C90" s="156">
        <v>98.6</v>
      </c>
      <c r="D90" s="20"/>
      <c r="E90" s="20"/>
      <c r="F90" s="156">
        <v>624</v>
      </c>
      <c r="G90" s="156">
        <v>86</v>
      </c>
      <c r="J90" s="20"/>
      <c r="Z90" s="80">
        <v>6</v>
      </c>
      <c r="AA90" s="80">
        <v>0.66300000000000003</v>
      </c>
      <c r="AB90" s="80">
        <f t="shared" si="2"/>
        <v>66.3</v>
      </c>
    </row>
    <row r="91" spans="2:67" x14ac:dyDescent="0.2">
      <c r="B91" s="156">
        <v>337.2</v>
      </c>
      <c r="C91" s="156">
        <v>100</v>
      </c>
      <c r="D91" s="20"/>
      <c r="E91" s="20"/>
      <c r="F91" s="156">
        <v>642</v>
      </c>
      <c r="G91" s="156">
        <v>88.1</v>
      </c>
      <c r="J91" s="20"/>
      <c r="Z91" s="80">
        <v>8</v>
      </c>
      <c r="AA91" s="80">
        <v>0.77800000000000002</v>
      </c>
      <c r="AB91" s="80">
        <f t="shared" si="2"/>
        <v>77.8</v>
      </c>
    </row>
    <row r="92" spans="2:67" x14ac:dyDescent="0.2">
      <c r="B92" s="156">
        <v>340.2</v>
      </c>
      <c r="C92" s="156">
        <v>101</v>
      </c>
      <c r="D92" s="20"/>
      <c r="E92" s="20"/>
      <c r="F92" s="156">
        <v>648</v>
      </c>
      <c r="G92" s="156">
        <v>89.600000000000009</v>
      </c>
      <c r="J92" s="20"/>
      <c r="Z92" s="80">
        <v>10</v>
      </c>
      <c r="AA92" s="80">
        <v>0.86899999999999999</v>
      </c>
      <c r="AB92" s="80">
        <f t="shared" si="2"/>
        <v>86.9</v>
      </c>
    </row>
    <row r="93" spans="2:67" x14ac:dyDescent="0.2">
      <c r="B93" s="156">
        <v>346.8</v>
      </c>
      <c r="C93" s="156">
        <v>101</v>
      </c>
      <c r="D93" s="20"/>
      <c r="E93" s="20"/>
      <c r="F93" s="156">
        <v>654</v>
      </c>
      <c r="G93" s="156">
        <v>91</v>
      </c>
      <c r="J93" s="20"/>
      <c r="Z93" s="80">
        <v>12</v>
      </c>
      <c r="AA93" s="80">
        <v>0.93700000000000006</v>
      </c>
      <c r="AB93" s="80">
        <f t="shared" si="2"/>
        <v>93.7</v>
      </c>
    </row>
    <row r="94" spans="2:67" x14ac:dyDescent="0.2">
      <c r="B94" s="156">
        <v>358.8</v>
      </c>
      <c r="C94" s="156">
        <v>102</v>
      </c>
      <c r="D94" s="20"/>
      <c r="E94" s="20"/>
      <c r="F94" s="156">
        <v>666</v>
      </c>
      <c r="G94" s="156">
        <v>91.7</v>
      </c>
      <c r="J94" s="20"/>
    </row>
    <row r="95" spans="2:67" x14ac:dyDescent="0.2">
      <c r="B95" s="156">
        <v>368.4</v>
      </c>
      <c r="C95" s="156">
        <v>103</v>
      </c>
      <c r="D95" s="20"/>
      <c r="E95" s="20"/>
      <c r="F95" s="156">
        <v>678</v>
      </c>
      <c r="G95" s="156">
        <v>92.4</v>
      </c>
      <c r="J95" s="20"/>
    </row>
    <row r="96" spans="2:67" x14ac:dyDescent="0.2">
      <c r="B96" s="156">
        <v>371.40000000000003</v>
      </c>
      <c r="C96" s="156">
        <v>103</v>
      </c>
      <c r="D96" s="20"/>
      <c r="E96" s="20"/>
      <c r="F96" s="156">
        <v>684</v>
      </c>
      <c r="G96" s="156">
        <v>93.5</v>
      </c>
      <c r="J96" s="20"/>
    </row>
    <row r="97" spans="2:10" x14ac:dyDescent="0.2">
      <c r="B97" s="156">
        <v>384</v>
      </c>
      <c r="C97" s="156">
        <v>100</v>
      </c>
      <c r="D97" s="20"/>
      <c r="E97" s="20"/>
      <c r="F97" s="156">
        <v>696</v>
      </c>
      <c r="G97" s="156">
        <v>95</v>
      </c>
      <c r="J97" s="20"/>
    </row>
    <row r="98" spans="2:10" x14ac:dyDescent="0.2">
      <c r="B98" s="156">
        <v>396</v>
      </c>
      <c r="C98" s="156">
        <v>100</v>
      </c>
      <c r="D98" s="20"/>
      <c r="E98" s="20"/>
      <c r="F98" s="156">
        <v>702</v>
      </c>
      <c r="G98" s="156">
        <v>96</v>
      </c>
      <c r="J98" s="20"/>
    </row>
    <row r="99" spans="2:10" x14ac:dyDescent="0.2">
      <c r="B99" s="156">
        <v>399.6</v>
      </c>
      <c r="C99" s="156">
        <v>102</v>
      </c>
      <c r="D99" s="20"/>
      <c r="E99" s="20"/>
      <c r="F99" s="156">
        <v>714</v>
      </c>
      <c r="G99" s="156">
        <v>97.1</v>
      </c>
      <c r="J99" s="20"/>
    </row>
    <row r="100" spans="2:10" x14ac:dyDescent="0.2">
      <c r="B100" s="156">
        <v>402.6</v>
      </c>
      <c r="C100" s="156">
        <v>104</v>
      </c>
      <c r="D100" s="20"/>
      <c r="E100" s="20"/>
      <c r="F100" s="156">
        <v>726</v>
      </c>
      <c r="G100" s="156">
        <v>98.6</v>
      </c>
      <c r="J100" s="20"/>
    </row>
    <row r="101" spans="2:10" x14ac:dyDescent="0.2">
      <c r="B101" s="156">
        <v>411.6</v>
      </c>
      <c r="C101" s="156">
        <v>101</v>
      </c>
      <c r="D101" s="20"/>
      <c r="E101" s="20"/>
      <c r="F101" s="156">
        <v>738</v>
      </c>
      <c r="G101" s="156">
        <v>100</v>
      </c>
      <c r="J101" s="20"/>
    </row>
    <row r="102" spans="2:10" x14ac:dyDescent="0.2">
      <c r="B102" s="80"/>
      <c r="C102" s="80"/>
      <c r="D102" s="20"/>
      <c r="E102" s="20"/>
      <c r="F102" s="156">
        <v>750</v>
      </c>
      <c r="G102" s="156">
        <v>101</v>
      </c>
      <c r="J102" s="20"/>
    </row>
    <row r="103" spans="2:10" x14ac:dyDescent="0.2">
      <c r="B103" s="80"/>
      <c r="C103" s="80"/>
      <c r="D103" s="20"/>
      <c r="E103" s="20"/>
      <c r="F103" s="156">
        <v>762</v>
      </c>
      <c r="G103" s="156">
        <v>103</v>
      </c>
      <c r="J103" s="20"/>
    </row>
    <row r="104" spans="2:10" x14ac:dyDescent="0.2">
      <c r="B104" s="80"/>
      <c r="C104" s="80"/>
      <c r="D104" s="20"/>
      <c r="E104" s="20"/>
      <c r="F104" s="156">
        <v>792</v>
      </c>
      <c r="G104" s="156">
        <v>103</v>
      </c>
      <c r="J104" s="20"/>
    </row>
    <row r="105" spans="2:10" x14ac:dyDescent="0.2">
      <c r="B105" s="80"/>
      <c r="C105" s="80"/>
      <c r="D105" s="20"/>
      <c r="E105" s="20"/>
      <c r="F105" s="156">
        <v>804</v>
      </c>
      <c r="G105" s="156">
        <v>105</v>
      </c>
      <c r="J105" s="20"/>
    </row>
    <row r="106" spans="2:10" x14ac:dyDescent="0.2">
      <c r="B106" s="80"/>
      <c r="C106" s="80"/>
      <c r="D106" s="20"/>
      <c r="E106" s="20"/>
      <c r="F106" s="156">
        <v>810</v>
      </c>
      <c r="G106" s="156">
        <v>104</v>
      </c>
      <c r="J106" s="20"/>
    </row>
    <row r="107" spans="2:10" x14ac:dyDescent="0.2">
      <c r="B107" s="80"/>
      <c r="C107" s="80"/>
      <c r="D107" s="20"/>
      <c r="E107" s="20"/>
      <c r="F107" s="156">
        <v>840</v>
      </c>
      <c r="G107" s="156">
        <v>104</v>
      </c>
      <c r="J107" s="20"/>
    </row>
    <row r="108" spans="2:10" x14ac:dyDescent="0.2">
      <c r="B108" s="80"/>
      <c r="C108" s="80"/>
      <c r="D108" s="20"/>
      <c r="E108" s="20"/>
      <c r="F108" s="156">
        <v>852</v>
      </c>
      <c r="G108" s="156">
        <v>105</v>
      </c>
      <c r="J108" s="20"/>
    </row>
    <row r="109" spans="2:10" x14ac:dyDescent="0.2">
      <c r="B109" s="80"/>
      <c r="C109" s="80"/>
      <c r="D109" s="20"/>
      <c r="E109" s="20"/>
      <c r="F109" s="156">
        <v>870</v>
      </c>
      <c r="G109" s="156">
        <v>105</v>
      </c>
      <c r="J109" s="20"/>
    </row>
    <row r="110" spans="2:10" x14ac:dyDescent="0.2">
      <c r="B110" s="80"/>
      <c r="C110" s="80"/>
      <c r="D110" s="20"/>
      <c r="E110" s="20"/>
      <c r="F110" s="156">
        <v>900</v>
      </c>
      <c r="G110" s="156">
        <v>105</v>
      </c>
      <c r="J110" s="20"/>
    </row>
    <row r="111" spans="2:10" x14ac:dyDescent="0.2">
      <c r="B111" s="80"/>
      <c r="C111" s="80"/>
      <c r="D111" s="20"/>
      <c r="E111" s="20"/>
    </row>
    <row r="112" spans="2:10" x14ac:dyDescent="0.2">
      <c r="B112" s="80"/>
      <c r="C112" s="80"/>
      <c r="D112" s="20"/>
      <c r="E112" s="20"/>
    </row>
    <row r="113" spans="2:6" x14ac:dyDescent="0.2">
      <c r="B113" s="80"/>
      <c r="C113" s="80"/>
      <c r="D113" s="20"/>
      <c r="E113" s="20"/>
    </row>
    <row r="114" spans="2:6" x14ac:dyDescent="0.2">
      <c r="B114" s="80"/>
      <c r="C114" s="80"/>
      <c r="D114" s="20"/>
      <c r="E114" s="20"/>
    </row>
    <row r="115" spans="2:6" x14ac:dyDescent="0.2">
      <c r="B115" s="80"/>
      <c r="C115" s="80"/>
      <c r="D115" s="20"/>
      <c r="E115" s="20"/>
    </row>
    <row r="116" spans="2:6" x14ac:dyDescent="0.2">
      <c r="B116" s="80"/>
      <c r="C116" s="80"/>
      <c r="D116" s="20"/>
      <c r="E116" s="20"/>
    </row>
    <row r="117" spans="2:6" x14ac:dyDescent="0.2">
      <c r="B117" s="80"/>
      <c r="C117" s="80"/>
      <c r="D117" s="20"/>
      <c r="E117" s="20"/>
    </row>
    <row r="118" spans="2:6" x14ac:dyDescent="0.2">
      <c r="B118" s="80"/>
      <c r="C118" s="80"/>
      <c r="D118" s="20"/>
      <c r="E118" s="20"/>
    </row>
    <row r="119" spans="2:6" x14ac:dyDescent="0.2">
      <c r="B119" s="80"/>
      <c r="C119" s="80"/>
      <c r="D119" s="20"/>
      <c r="E119" s="20"/>
    </row>
    <row r="120" spans="2:6" x14ac:dyDescent="0.2">
      <c r="B120" s="80"/>
      <c r="C120" s="80"/>
      <c r="D120" s="20"/>
      <c r="E120" s="20"/>
    </row>
    <row r="121" spans="2:6" x14ac:dyDescent="0.2">
      <c r="B121" s="80"/>
      <c r="C121" s="80"/>
      <c r="D121" s="20"/>
      <c r="E121" s="20"/>
    </row>
    <row r="122" spans="2:6" x14ac:dyDescent="0.2">
      <c r="B122" s="80"/>
      <c r="C122" s="80"/>
      <c r="D122" s="20"/>
      <c r="E122" s="20"/>
    </row>
    <row r="123" spans="2:6" x14ac:dyDescent="0.2">
      <c r="B123" s="80"/>
      <c r="C123" s="80"/>
      <c r="D123" s="20"/>
      <c r="E123" s="20"/>
    </row>
    <row r="124" spans="2:6" x14ac:dyDescent="0.2">
      <c r="B124" s="80"/>
      <c r="C124" s="80"/>
      <c r="D124" s="20"/>
      <c r="E124" s="20"/>
      <c r="F124" s="176"/>
    </row>
    <row r="125" spans="2:6" x14ac:dyDescent="0.2">
      <c r="B125" s="80"/>
      <c r="C125" s="80"/>
      <c r="D125" s="20"/>
      <c r="E125" s="20"/>
    </row>
    <row r="126" spans="2:6" x14ac:dyDescent="0.2">
      <c r="B126" s="80"/>
      <c r="C126" s="80"/>
      <c r="D126" s="20"/>
      <c r="E126" s="20"/>
    </row>
    <row r="127" spans="2:6" x14ac:dyDescent="0.2">
      <c r="B127" s="80"/>
      <c r="C127" s="80"/>
      <c r="D127" s="20"/>
      <c r="E127" s="20"/>
    </row>
    <row r="128" spans="2:6" x14ac:dyDescent="0.2">
      <c r="B128" s="80"/>
      <c r="C128" s="80"/>
      <c r="D128" s="20"/>
      <c r="E128" s="20"/>
    </row>
    <row r="129" spans="2:20" ht="15" x14ac:dyDescent="0.2">
      <c r="B129" s="80"/>
      <c r="C129" s="80"/>
      <c r="D129" s="20"/>
      <c r="E129" s="20"/>
      <c r="M129" s="247"/>
      <c r="N129" s="248"/>
      <c r="O129" s="248"/>
      <c r="P129" s="248"/>
      <c r="Q129" s="248"/>
      <c r="R129" s="248"/>
      <c r="S129" s="248"/>
      <c r="T129" s="56"/>
    </row>
    <row r="130" spans="2:20" x14ac:dyDescent="0.2">
      <c r="B130" s="80" t="s">
        <v>848</v>
      </c>
      <c r="C130" s="80"/>
      <c r="D130" s="20"/>
      <c r="E130" s="20"/>
      <c r="M130" s="10"/>
      <c r="N130" s="12"/>
      <c r="O130" s="187"/>
      <c r="P130" s="187"/>
      <c r="Q130" s="129"/>
      <c r="R130" s="129"/>
      <c r="S130" s="129"/>
    </row>
    <row r="131" spans="2:20" x14ac:dyDescent="0.2">
      <c r="B131" s="80"/>
      <c r="C131" s="80"/>
      <c r="D131" s="20"/>
      <c r="E131" s="20"/>
      <c r="M131" s="10"/>
      <c r="N131" s="12"/>
      <c r="O131" s="188"/>
      <c r="P131" s="188"/>
      <c r="Q131" s="129"/>
      <c r="R131" s="129"/>
      <c r="S131" s="129"/>
    </row>
    <row r="132" spans="2:20" x14ac:dyDescent="0.2">
      <c r="B132" s="80"/>
      <c r="C132" s="80"/>
      <c r="M132" s="10"/>
      <c r="N132" s="12"/>
      <c r="O132" s="187"/>
      <c r="P132" s="187"/>
      <c r="Q132" s="129"/>
      <c r="R132" s="129"/>
      <c r="S132" s="129"/>
    </row>
    <row r="133" spans="2:20" x14ac:dyDescent="0.2">
      <c r="B133" s="80"/>
      <c r="C133" s="80"/>
      <c r="M133" s="10"/>
      <c r="N133" s="12"/>
      <c r="O133" s="188"/>
      <c r="P133" s="188"/>
      <c r="Q133" s="129"/>
      <c r="R133" s="129"/>
      <c r="S133" s="129"/>
    </row>
    <row r="134" spans="2:20" x14ac:dyDescent="0.2">
      <c r="B134" s="80"/>
      <c r="C134" s="80"/>
      <c r="M134" s="10"/>
      <c r="N134" s="129"/>
      <c r="O134" s="187"/>
      <c r="P134" s="187"/>
      <c r="Q134" s="129"/>
      <c r="R134" s="129"/>
      <c r="S134" s="129"/>
    </row>
    <row r="135" spans="2:20" x14ac:dyDescent="0.2">
      <c r="B135" s="80"/>
      <c r="C135" s="80"/>
      <c r="M135" s="10"/>
      <c r="N135" s="129"/>
      <c r="O135" s="188"/>
      <c r="P135" s="188"/>
      <c r="Q135" s="129"/>
      <c r="R135" s="129"/>
      <c r="S135" s="129"/>
    </row>
    <row r="136" spans="2:20" x14ac:dyDescent="0.2">
      <c r="B136" s="80"/>
      <c r="C136" s="80"/>
      <c r="M136" s="10"/>
      <c r="N136" s="177"/>
      <c r="O136" s="189"/>
      <c r="P136" s="189"/>
      <c r="Q136" s="129"/>
      <c r="R136" s="129"/>
      <c r="S136" s="129"/>
    </row>
    <row r="137" spans="2:20" x14ac:dyDescent="0.2">
      <c r="B137" s="80"/>
      <c r="C137" s="80"/>
      <c r="M137" s="10"/>
      <c r="N137" s="177"/>
      <c r="O137" s="188"/>
      <c r="P137" s="188"/>
      <c r="Q137" s="129"/>
      <c r="R137" s="129"/>
      <c r="S137" s="10"/>
    </row>
    <row r="138" spans="2:20" x14ac:dyDescent="0.2">
      <c r="B138" s="80"/>
      <c r="C138" s="80"/>
      <c r="M138" s="10"/>
      <c r="N138" s="10"/>
      <c r="O138" s="10"/>
      <c r="P138" s="10"/>
      <c r="Q138" s="129"/>
      <c r="R138" s="129"/>
      <c r="S138" s="10"/>
    </row>
    <row r="139" spans="2:20" x14ac:dyDescent="0.2">
      <c r="B139" s="80"/>
      <c r="C139" s="80"/>
      <c r="M139" s="10"/>
      <c r="N139" s="10"/>
      <c r="O139" s="10"/>
      <c r="P139" s="10"/>
      <c r="Q139" s="10"/>
      <c r="R139" s="10"/>
      <c r="S139" s="10"/>
    </row>
    <row r="140" spans="2:20" x14ac:dyDescent="0.2">
      <c r="B140" s="80"/>
      <c r="C140" s="80"/>
    </row>
    <row r="141" spans="2:20" x14ac:dyDescent="0.2">
      <c r="B141" s="80"/>
      <c r="C141" s="80"/>
    </row>
    <row r="142" spans="2:20" x14ac:dyDescent="0.2">
      <c r="B142" s="80"/>
      <c r="C142" s="80"/>
    </row>
    <row r="143" spans="2:20" x14ac:dyDescent="0.2">
      <c r="B143" s="80"/>
      <c r="C143" s="80"/>
    </row>
    <row r="144" spans="2:20" x14ac:dyDescent="0.2">
      <c r="B144" s="80"/>
      <c r="C144" s="80"/>
    </row>
    <row r="145" spans="2:12" x14ac:dyDescent="0.2">
      <c r="B145" s="80"/>
      <c r="C145" s="80"/>
    </row>
    <row r="146" spans="2:12" x14ac:dyDescent="0.2">
      <c r="B146" s="80"/>
      <c r="C146" s="80"/>
    </row>
    <row r="147" spans="2:12" x14ac:dyDescent="0.2">
      <c r="B147" s="80"/>
      <c r="C147" s="80"/>
    </row>
    <row r="148" spans="2:12" x14ac:dyDescent="0.2">
      <c r="B148" s="80"/>
      <c r="C148" s="80"/>
    </row>
    <row r="155" spans="2:12" x14ac:dyDescent="0.2">
      <c r="B155" t="s">
        <v>847</v>
      </c>
    </row>
    <row r="156" spans="2:12" x14ac:dyDescent="0.2">
      <c r="B156" s="20" t="s">
        <v>848</v>
      </c>
      <c r="C156" t="s">
        <v>858</v>
      </c>
    </row>
    <row r="157" spans="2:12" x14ac:dyDescent="0.2">
      <c r="B157" t="s">
        <v>488</v>
      </c>
      <c r="C157" t="s">
        <v>849</v>
      </c>
    </row>
    <row r="158" spans="2:12" x14ac:dyDescent="0.2">
      <c r="B158" s="80" t="s">
        <v>342</v>
      </c>
      <c r="C158" s="80" t="s">
        <v>414</v>
      </c>
      <c r="D158" t="s">
        <v>850</v>
      </c>
      <c r="F158" s="80" t="s">
        <v>342</v>
      </c>
      <c r="G158" s="80" t="s">
        <v>414</v>
      </c>
      <c r="H158" s="80" t="s">
        <v>857</v>
      </c>
      <c r="J158" s="249" t="s">
        <v>342</v>
      </c>
      <c r="K158" s="249" t="s">
        <v>414</v>
      </c>
      <c r="L158" s="80" t="s">
        <v>857</v>
      </c>
    </row>
    <row r="159" spans="2:12" x14ac:dyDescent="0.2">
      <c r="B159" s="80">
        <v>5.11E-2</v>
      </c>
      <c r="C159" s="80">
        <v>1.3999999999999999E-4</v>
      </c>
      <c r="D159">
        <f>100*C159</f>
        <v>1.3999999999999999E-2</v>
      </c>
      <c r="F159" s="80">
        <v>0</v>
      </c>
      <c r="G159" s="80">
        <v>0</v>
      </c>
      <c r="H159">
        <f>100*G159</f>
        <v>0</v>
      </c>
      <c r="J159" s="249">
        <v>0.10299999999999999</v>
      </c>
      <c r="K159" s="249">
        <v>0</v>
      </c>
      <c r="L159">
        <f>100*K159</f>
        <v>0</v>
      </c>
    </row>
    <row r="160" spans="2:12" x14ac:dyDescent="0.2">
      <c r="B160" s="80">
        <v>0.41099999999999998</v>
      </c>
      <c r="C160" s="80">
        <v>5.0200000000000002E-2</v>
      </c>
      <c r="D160">
        <f t="shared" ref="D160:D223" si="3">100*C160</f>
        <v>5.0200000000000005</v>
      </c>
      <c r="F160" s="80">
        <v>0.107</v>
      </c>
      <c r="G160" s="80">
        <v>5.3699999999999998E-2</v>
      </c>
      <c r="H160">
        <f t="shared" ref="H160:H223" si="4">100*G160</f>
        <v>5.37</v>
      </c>
      <c r="J160" s="249">
        <v>0.40300000000000002</v>
      </c>
      <c r="K160" s="249">
        <v>0.39400000000000002</v>
      </c>
      <c r="L160">
        <f t="shared" ref="L160:L223" si="5">100*K160</f>
        <v>39.4</v>
      </c>
    </row>
    <row r="161" spans="2:12" x14ac:dyDescent="0.2">
      <c r="B161" s="80">
        <v>0.92800000000000005</v>
      </c>
      <c r="C161" s="80">
        <v>5.3900000000000003E-2</v>
      </c>
      <c r="D161">
        <f t="shared" si="3"/>
        <v>5.3900000000000006</v>
      </c>
      <c r="F161" s="80">
        <v>0.67200000000000004</v>
      </c>
      <c r="G161" s="80">
        <v>5.7000000000000002E-2</v>
      </c>
      <c r="H161">
        <f t="shared" si="4"/>
        <v>5.7</v>
      </c>
      <c r="J161" s="249">
        <v>0.66</v>
      </c>
      <c r="K161" s="249">
        <v>0.48</v>
      </c>
      <c r="L161">
        <f t="shared" si="5"/>
        <v>48</v>
      </c>
    </row>
    <row r="162" spans="2:12" x14ac:dyDescent="0.2">
      <c r="B162" s="80">
        <v>1.03</v>
      </c>
      <c r="C162" s="80">
        <v>0.104</v>
      </c>
      <c r="D162">
        <f t="shared" si="3"/>
        <v>10.4</v>
      </c>
      <c r="F162" s="80">
        <v>1.03</v>
      </c>
      <c r="G162" s="80">
        <v>7.1199999999999999E-2</v>
      </c>
      <c r="H162">
        <f t="shared" si="4"/>
        <v>7.12</v>
      </c>
      <c r="J162" s="249">
        <v>0.55600000000000005</v>
      </c>
      <c r="K162" s="249">
        <v>0.50900000000000001</v>
      </c>
      <c r="L162">
        <f t="shared" si="5"/>
        <v>50.9</v>
      </c>
    </row>
    <row r="163" spans="2:12" x14ac:dyDescent="0.2">
      <c r="B163" s="80">
        <v>1.34</v>
      </c>
      <c r="C163" s="80">
        <v>0.14699999999999999</v>
      </c>
      <c r="D163">
        <f t="shared" si="3"/>
        <v>14.7</v>
      </c>
      <c r="F163" s="80">
        <v>1.1399999999999999</v>
      </c>
      <c r="G163" s="80">
        <v>7.8299999999999995E-2</v>
      </c>
      <c r="H163">
        <f t="shared" si="4"/>
        <v>7.8299999999999992</v>
      </c>
      <c r="J163" s="249">
        <v>0.97</v>
      </c>
      <c r="K163" s="249">
        <v>0.50900000000000001</v>
      </c>
      <c r="L163">
        <f t="shared" si="5"/>
        <v>50.9</v>
      </c>
    </row>
    <row r="164" spans="2:12" x14ac:dyDescent="0.2">
      <c r="B164" s="80">
        <v>1.7</v>
      </c>
      <c r="C164" s="80">
        <v>0.183</v>
      </c>
      <c r="D164">
        <f t="shared" si="3"/>
        <v>18.3</v>
      </c>
      <c r="F164" s="80">
        <v>1.6</v>
      </c>
      <c r="G164" s="80">
        <v>9.6100000000000005E-2</v>
      </c>
      <c r="H164">
        <f t="shared" si="4"/>
        <v>9.6100000000000012</v>
      </c>
      <c r="J164" s="249">
        <v>1.18</v>
      </c>
      <c r="K164" s="249">
        <v>0.50900000000000001</v>
      </c>
      <c r="L164">
        <f t="shared" si="5"/>
        <v>50.9</v>
      </c>
    </row>
    <row r="165" spans="2:12" x14ac:dyDescent="0.2">
      <c r="B165" s="80">
        <v>1.85</v>
      </c>
      <c r="C165" s="80">
        <v>0.254</v>
      </c>
      <c r="D165">
        <f t="shared" si="3"/>
        <v>25.4</v>
      </c>
      <c r="F165" s="80">
        <v>1.81</v>
      </c>
      <c r="G165" s="80">
        <v>0.121</v>
      </c>
      <c r="H165">
        <f t="shared" si="4"/>
        <v>12.1</v>
      </c>
      <c r="J165" s="249">
        <v>1.59</v>
      </c>
      <c r="K165" s="249">
        <v>0.50900000000000001</v>
      </c>
      <c r="L165">
        <f t="shared" si="5"/>
        <v>50.9</v>
      </c>
    </row>
    <row r="166" spans="2:12" x14ac:dyDescent="0.2">
      <c r="B166" s="80">
        <v>2.2599999999999998</v>
      </c>
      <c r="C166" s="80">
        <v>0.32900000000000001</v>
      </c>
      <c r="D166">
        <f t="shared" si="3"/>
        <v>32.9</v>
      </c>
      <c r="F166" s="80">
        <v>2.11</v>
      </c>
      <c r="G166" s="80">
        <v>0.13500000000000001</v>
      </c>
      <c r="H166">
        <f t="shared" si="4"/>
        <v>13.5</v>
      </c>
      <c r="J166" s="249">
        <v>1.95</v>
      </c>
      <c r="K166" s="249">
        <v>0.51600000000000001</v>
      </c>
      <c r="L166">
        <f t="shared" si="5"/>
        <v>51.6</v>
      </c>
    </row>
    <row r="167" spans="2:12" x14ac:dyDescent="0.2">
      <c r="B167" s="80">
        <v>2.57</v>
      </c>
      <c r="C167" s="80">
        <v>0.38300000000000001</v>
      </c>
      <c r="D167">
        <f t="shared" si="3"/>
        <v>38.299999999999997</v>
      </c>
      <c r="F167" s="80">
        <v>2.4700000000000002</v>
      </c>
      <c r="G167" s="80">
        <v>0.14599999999999999</v>
      </c>
      <c r="H167">
        <f t="shared" si="4"/>
        <v>14.6</v>
      </c>
      <c r="J167" s="249">
        <v>2.37</v>
      </c>
      <c r="K167" s="249">
        <v>0.51600000000000001</v>
      </c>
      <c r="L167">
        <f t="shared" si="5"/>
        <v>51.6</v>
      </c>
    </row>
    <row r="168" spans="2:12" x14ac:dyDescent="0.2">
      <c r="B168" s="80">
        <v>2.83</v>
      </c>
      <c r="C168" s="80">
        <v>0.45100000000000001</v>
      </c>
      <c r="D168">
        <f t="shared" si="3"/>
        <v>45.1</v>
      </c>
      <c r="F168" s="80">
        <v>2.73</v>
      </c>
      <c r="G168" s="80">
        <v>0.17100000000000001</v>
      </c>
      <c r="H168">
        <f t="shared" si="4"/>
        <v>17.100000000000001</v>
      </c>
      <c r="J168" s="249">
        <v>2.68</v>
      </c>
      <c r="K168" s="249">
        <v>0.51600000000000001</v>
      </c>
      <c r="L168">
        <f t="shared" si="5"/>
        <v>51.6</v>
      </c>
    </row>
    <row r="169" spans="2:12" x14ac:dyDescent="0.2">
      <c r="B169" s="80">
        <v>3.24</v>
      </c>
      <c r="C169" s="80">
        <v>0.501</v>
      </c>
      <c r="D169">
        <f t="shared" si="3"/>
        <v>50.1</v>
      </c>
      <c r="F169" s="80">
        <v>2.99</v>
      </c>
      <c r="G169" s="80">
        <v>0.189</v>
      </c>
      <c r="H169">
        <f t="shared" si="4"/>
        <v>18.899999999999999</v>
      </c>
      <c r="J169" s="249">
        <v>2.93</v>
      </c>
      <c r="K169" s="249">
        <v>0.51600000000000001</v>
      </c>
      <c r="L169">
        <f t="shared" si="5"/>
        <v>51.6</v>
      </c>
    </row>
    <row r="170" spans="2:12" x14ac:dyDescent="0.2">
      <c r="B170" s="80">
        <v>3.45</v>
      </c>
      <c r="C170" s="80">
        <v>0.53700000000000003</v>
      </c>
      <c r="D170">
        <f t="shared" si="3"/>
        <v>53.7</v>
      </c>
      <c r="F170" s="80">
        <v>3.4</v>
      </c>
      <c r="G170" s="80">
        <v>0.21</v>
      </c>
      <c r="H170">
        <f t="shared" si="4"/>
        <v>21</v>
      </c>
      <c r="J170" s="249">
        <v>3.19</v>
      </c>
      <c r="K170" s="249">
        <v>0.51600000000000001</v>
      </c>
      <c r="L170">
        <f t="shared" si="5"/>
        <v>51.6</v>
      </c>
    </row>
    <row r="171" spans="2:12" x14ac:dyDescent="0.2">
      <c r="B171" s="80">
        <v>3.86</v>
      </c>
      <c r="C171" s="80">
        <v>0.57599999999999996</v>
      </c>
      <c r="D171">
        <f t="shared" si="3"/>
        <v>57.599999999999994</v>
      </c>
      <c r="F171" s="80">
        <v>3.76</v>
      </c>
      <c r="G171" s="80">
        <v>0.23499999999999999</v>
      </c>
      <c r="H171">
        <f t="shared" si="4"/>
        <v>23.5</v>
      </c>
      <c r="J171" s="249">
        <v>3.56</v>
      </c>
      <c r="K171" s="249">
        <v>0.51600000000000001</v>
      </c>
      <c r="L171">
        <f t="shared" si="5"/>
        <v>51.6</v>
      </c>
    </row>
    <row r="172" spans="2:12" x14ac:dyDescent="0.2">
      <c r="B172" s="80">
        <v>4.12</v>
      </c>
      <c r="C172" s="80">
        <v>0.60799999999999998</v>
      </c>
      <c r="D172">
        <f t="shared" si="3"/>
        <v>60.8</v>
      </c>
      <c r="F172" s="80">
        <v>3.92</v>
      </c>
      <c r="G172" s="80">
        <v>0.26</v>
      </c>
      <c r="H172">
        <f t="shared" si="4"/>
        <v>26</v>
      </c>
      <c r="J172" s="249">
        <v>4.0199999999999996</v>
      </c>
      <c r="K172" s="249">
        <v>0.51300000000000001</v>
      </c>
      <c r="L172">
        <f t="shared" si="5"/>
        <v>51.300000000000004</v>
      </c>
    </row>
    <row r="173" spans="2:12" x14ac:dyDescent="0.2">
      <c r="B173" s="80">
        <v>4.53</v>
      </c>
      <c r="C173" s="80">
        <v>0.64100000000000001</v>
      </c>
      <c r="D173">
        <f t="shared" si="3"/>
        <v>64.099999999999994</v>
      </c>
      <c r="F173" s="80">
        <v>4.33</v>
      </c>
      <c r="G173" s="80">
        <v>0.29299999999999998</v>
      </c>
      <c r="H173">
        <f t="shared" si="4"/>
        <v>29.299999999999997</v>
      </c>
      <c r="J173" s="249">
        <v>4.38</v>
      </c>
      <c r="K173" s="249">
        <v>0.52</v>
      </c>
      <c r="L173">
        <f t="shared" si="5"/>
        <v>52</v>
      </c>
    </row>
    <row r="174" spans="2:12" x14ac:dyDescent="0.2">
      <c r="B174" s="80">
        <v>4.79</v>
      </c>
      <c r="C174" s="80">
        <v>0.65800000000000003</v>
      </c>
      <c r="D174">
        <f t="shared" si="3"/>
        <v>65.8</v>
      </c>
      <c r="F174" s="80">
        <v>4.8499999999999996</v>
      </c>
      <c r="G174" s="80">
        <v>0.314</v>
      </c>
      <c r="H174">
        <f t="shared" si="4"/>
        <v>31.4</v>
      </c>
      <c r="J174" s="249">
        <v>4.6900000000000004</v>
      </c>
      <c r="K174" s="249">
        <v>0.54100000000000004</v>
      </c>
      <c r="L174">
        <f t="shared" si="5"/>
        <v>54.1</v>
      </c>
    </row>
    <row r="175" spans="2:12" x14ac:dyDescent="0.2">
      <c r="B175" s="80">
        <v>4.99</v>
      </c>
      <c r="C175" s="80">
        <v>0.68300000000000005</v>
      </c>
      <c r="D175">
        <f t="shared" si="3"/>
        <v>68.300000000000011</v>
      </c>
      <c r="F175" s="80">
        <v>5</v>
      </c>
      <c r="G175" s="80">
        <v>0.33900000000000002</v>
      </c>
      <c r="H175">
        <f t="shared" si="4"/>
        <v>33.900000000000006</v>
      </c>
      <c r="J175" s="249">
        <v>4.8</v>
      </c>
      <c r="K175" s="249">
        <v>0.54100000000000004</v>
      </c>
      <c r="L175">
        <f t="shared" si="5"/>
        <v>54.1</v>
      </c>
    </row>
    <row r="176" spans="2:12" x14ac:dyDescent="0.2">
      <c r="B176" s="80">
        <v>5.4</v>
      </c>
      <c r="C176" s="80">
        <v>0.70899999999999996</v>
      </c>
      <c r="D176">
        <f t="shared" si="3"/>
        <v>70.899999999999991</v>
      </c>
      <c r="F176" s="80">
        <v>5.21</v>
      </c>
      <c r="G176" s="80">
        <v>0.35</v>
      </c>
      <c r="H176">
        <f t="shared" si="4"/>
        <v>35</v>
      </c>
      <c r="J176" s="249">
        <v>5.05</v>
      </c>
      <c r="K176" s="249">
        <v>0.56299999999999994</v>
      </c>
      <c r="L176">
        <f t="shared" si="5"/>
        <v>56.3</v>
      </c>
    </row>
    <row r="177" spans="2:12" x14ac:dyDescent="0.2">
      <c r="B177" s="80">
        <v>5.76</v>
      </c>
      <c r="C177" s="80">
        <v>0.73</v>
      </c>
      <c r="D177">
        <f t="shared" si="3"/>
        <v>73</v>
      </c>
      <c r="F177" s="80">
        <v>5.67</v>
      </c>
      <c r="G177" s="80">
        <v>0.36</v>
      </c>
      <c r="H177">
        <f t="shared" si="4"/>
        <v>36</v>
      </c>
      <c r="J177" s="249">
        <v>5.36</v>
      </c>
      <c r="K177" s="249">
        <v>0.58799999999999997</v>
      </c>
      <c r="L177">
        <f t="shared" si="5"/>
        <v>58.8</v>
      </c>
    </row>
    <row r="178" spans="2:12" x14ac:dyDescent="0.2">
      <c r="B178" s="80">
        <v>6.13</v>
      </c>
      <c r="C178" s="80">
        <v>0.752</v>
      </c>
      <c r="D178">
        <f t="shared" si="3"/>
        <v>75.2</v>
      </c>
      <c r="F178" s="80">
        <v>5.98</v>
      </c>
      <c r="G178" s="80">
        <v>0.378</v>
      </c>
      <c r="H178">
        <f t="shared" si="4"/>
        <v>37.799999999999997</v>
      </c>
      <c r="J178" s="249">
        <v>5.73</v>
      </c>
      <c r="K178" s="249">
        <v>0.61299999999999999</v>
      </c>
      <c r="L178">
        <f t="shared" si="5"/>
        <v>61.3</v>
      </c>
    </row>
    <row r="179" spans="2:12" x14ac:dyDescent="0.2">
      <c r="B179" s="80">
        <v>6.38</v>
      </c>
      <c r="C179" s="80">
        <v>0.76600000000000001</v>
      </c>
      <c r="D179">
        <f t="shared" si="3"/>
        <v>76.599999999999994</v>
      </c>
      <c r="F179" s="80">
        <v>6.24</v>
      </c>
      <c r="G179" s="80">
        <v>0.38200000000000001</v>
      </c>
      <c r="H179">
        <f t="shared" si="4"/>
        <v>38.200000000000003</v>
      </c>
      <c r="J179" s="249">
        <v>5.93</v>
      </c>
      <c r="K179" s="249">
        <v>0.64200000000000002</v>
      </c>
      <c r="L179">
        <f t="shared" si="5"/>
        <v>64.2</v>
      </c>
    </row>
    <row r="180" spans="2:12" x14ac:dyDescent="0.2">
      <c r="B180" s="80">
        <v>6.64</v>
      </c>
      <c r="C180" s="80">
        <v>0.77700000000000002</v>
      </c>
      <c r="D180">
        <f t="shared" si="3"/>
        <v>77.7</v>
      </c>
      <c r="F180" s="80">
        <v>6.65</v>
      </c>
      <c r="G180" s="80">
        <v>0.40300000000000002</v>
      </c>
      <c r="H180">
        <f t="shared" si="4"/>
        <v>40.300000000000004</v>
      </c>
      <c r="J180" s="249">
        <v>6.29</v>
      </c>
      <c r="K180" s="249">
        <v>0.65600000000000003</v>
      </c>
      <c r="L180">
        <f t="shared" si="5"/>
        <v>65.600000000000009</v>
      </c>
    </row>
    <row r="181" spans="2:12" x14ac:dyDescent="0.2">
      <c r="B181" s="80">
        <v>7</v>
      </c>
      <c r="C181" s="80">
        <v>0.79100000000000004</v>
      </c>
      <c r="D181">
        <f t="shared" si="3"/>
        <v>79.100000000000009</v>
      </c>
      <c r="F181" s="80">
        <v>6.8</v>
      </c>
      <c r="G181" s="80">
        <v>0.42399999999999999</v>
      </c>
      <c r="H181">
        <f t="shared" si="4"/>
        <v>42.4</v>
      </c>
      <c r="J181" s="249">
        <v>6.66</v>
      </c>
      <c r="K181" s="249">
        <v>0.66300000000000003</v>
      </c>
      <c r="L181">
        <f t="shared" si="5"/>
        <v>66.3</v>
      </c>
    </row>
    <row r="182" spans="2:12" x14ac:dyDescent="0.2">
      <c r="B182" s="80">
        <v>7.21</v>
      </c>
      <c r="C182" s="80">
        <v>0.79100000000000004</v>
      </c>
      <c r="D182">
        <f t="shared" si="3"/>
        <v>79.100000000000009</v>
      </c>
      <c r="F182" s="80">
        <v>7.16</v>
      </c>
      <c r="G182" s="80">
        <v>0.442</v>
      </c>
      <c r="H182">
        <f t="shared" si="4"/>
        <v>44.2</v>
      </c>
      <c r="J182" s="249">
        <v>6.86</v>
      </c>
      <c r="K182" s="249">
        <v>0.67</v>
      </c>
      <c r="L182">
        <f t="shared" si="5"/>
        <v>67</v>
      </c>
    </row>
    <row r="183" spans="2:12" x14ac:dyDescent="0.2">
      <c r="B183" s="80">
        <v>7.47</v>
      </c>
      <c r="C183" s="80">
        <v>0.79100000000000004</v>
      </c>
      <c r="D183">
        <f t="shared" si="3"/>
        <v>79.100000000000009</v>
      </c>
      <c r="F183" s="80">
        <v>7.63</v>
      </c>
      <c r="G183" s="80">
        <v>0.45600000000000002</v>
      </c>
      <c r="H183">
        <f t="shared" si="4"/>
        <v>45.6</v>
      </c>
      <c r="J183" s="249">
        <v>7.07</v>
      </c>
      <c r="K183" s="249">
        <v>0.68100000000000005</v>
      </c>
      <c r="L183">
        <f t="shared" si="5"/>
        <v>68.100000000000009</v>
      </c>
    </row>
    <row r="184" spans="2:12" x14ac:dyDescent="0.2">
      <c r="B184" s="80">
        <v>7.57</v>
      </c>
      <c r="C184" s="80">
        <v>0.79800000000000004</v>
      </c>
      <c r="D184">
        <f t="shared" si="3"/>
        <v>79.800000000000011</v>
      </c>
      <c r="F184" s="80">
        <v>7.83</v>
      </c>
      <c r="G184" s="80">
        <v>0.48099999999999998</v>
      </c>
      <c r="H184">
        <f t="shared" si="4"/>
        <v>48.1</v>
      </c>
      <c r="J184" s="249">
        <v>7.33</v>
      </c>
      <c r="K184" s="249">
        <v>0.68100000000000005</v>
      </c>
      <c r="L184">
        <f t="shared" si="5"/>
        <v>68.100000000000009</v>
      </c>
    </row>
    <row r="185" spans="2:12" x14ac:dyDescent="0.2">
      <c r="B185" s="80">
        <v>8.14</v>
      </c>
      <c r="C185" s="80">
        <v>0.79900000000000004</v>
      </c>
      <c r="D185">
        <f t="shared" si="3"/>
        <v>79.900000000000006</v>
      </c>
      <c r="F185" s="80">
        <v>8.09</v>
      </c>
      <c r="G185" s="80">
        <v>0.496</v>
      </c>
      <c r="H185">
        <f t="shared" si="4"/>
        <v>49.6</v>
      </c>
      <c r="J185" s="249">
        <v>7.53</v>
      </c>
      <c r="K185" s="249">
        <v>0.68799999999999994</v>
      </c>
      <c r="L185">
        <f t="shared" si="5"/>
        <v>68.8</v>
      </c>
    </row>
    <row r="186" spans="2:12" x14ac:dyDescent="0.2">
      <c r="B186" s="80">
        <v>8.34</v>
      </c>
      <c r="C186" s="80">
        <v>0.80600000000000005</v>
      </c>
      <c r="D186">
        <f t="shared" si="3"/>
        <v>80.600000000000009</v>
      </c>
      <c r="F186" s="80">
        <v>8.61</v>
      </c>
      <c r="G186" s="80">
        <v>0.51300000000000001</v>
      </c>
      <c r="H186">
        <f t="shared" si="4"/>
        <v>51.300000000000004</v>
      </c>
      <c r="J186" s="249">
        <v>7.69</v>
      </c>
      <c r="K186" s="249">
        <v>0.68799999999999994</v>
      </c>
      <c r="L186">
        <f t="shared" si="5"/>
        <v>68.8</v>
      </c>
    </row>
    <row r="187" spans="2:12" x14ac:dyDescent="0.2">
      <c r="B187" s="80">
        <v>8.81</v>
      </c>
      <c r="C187" s="80">
        <v>0.80900000000000005</v>
      </c>
      <c r="D187">
        <f t="shared" si="3"/>
        <v>80.900000000000006</v>
      </c>
      <c r="F187" s="80">
        <v>9.02</v>
      </c>
      <c r="G187" s="80">
        <v>0.53800000000000003</v>
      </c>
      <c r="H187">
        <f t="shared" si="4"/>
        <v>53.800000000000004</v>
      </c>
      <c r="J187" s="249">
        <v>7.9</v>
      </c>
      <c r="K187" s="249">
        <v>0.69199999999999995</v>
      </c>
      <c r="L187">
        <f t="shared" si="5"/>
        <v>69.199999999999989</v>
      </c>
    </row>
    <row r="188" spans="2:12" x14ac:dyDescent="0.2">
      <c r="B188" s="80">
        <v>9.27</v>
      </c>
      <c r="C188" s="80">
        <v>0.81699999999999995</v>
      </c>
      <c r="D188">
        <f t="shared" si="3"/>
        <v>81.699999999999989</v>
      </c>
      <c r="F188" s="80">
        <v>9.5299999999999994</v>
      </c>
      <c r="G188" s="80">
        <v>0.56000000000000005</v>
      </c>
      <c r="H188">
        <f t="shared" si="4"/>
        <v>56.000000000000007</v>
      </c>
      <c r="J188" s="249">
        <v>8.0500000000000007</v>
      </c>
      <c r="K188" s="249">
        <v>0.69199999999999995</v>
      </c>
      <c r="L188">
        <f t="shared" si="5"/>
        <v>69.199999999999989</v>
      </c>
    </row>
    <row r="189" spans="2:12" x14ac:dyDescent="0.2">
      <c r="B189" s="80">
        <v>9.69</v>
      </c>
      <c r="C189" s="80">
        <v>0.81699999999999995</v>
      </c>
      <c r="D189">
        <f t="shared" si="3"/>
        <v>81.699999999999989</v>
      </c>
      <c r="F189" s="80">
        <v>9.7899999999999991</v>
      </c>
      <c r="G189" s="80">
        <v>0.57399999999999995</v>
      </c>
      <c r="H189">
        <f t="shared" si="4"/>
        <v>57.4</v>
      </c>
      <c r="J189" s="249">
        <v>8.26</v>
      </c>
      <c r="K189" s="249">
        <v>0.69199999999999995</v>
      </c>
      <c r="L189">
        <f t="shared" si="5"/>
        <v>69.199999999999989</v>
      </c>
    </row>
    <row r="190" spans="2:12" x14ac:dyDescent="0.2">
      <c r="B190" s="80">
        <v>10.199999999999999</v>
      </c>
      <c r="C190" s="80">
        <v>0.82399999999999995</v>
      </c>
      <c r="D190">
        <f t="shared" si="3"/>
        <v>82.399999999999991</v>
      </c>
      <c r="F190" s="80">
        <v>10.1</v>
      </c>
      <c r="G190" s="80">
        <v>0.59499999999999997</v>
      </c>
      <c r="H190">
        <f t="shared" si="4"/>
        <v>59.5</v>
      </c>
      <c r="J190" s="249">
        <v>8.41</v>
      </c>
      <c r="K190" s="249">
        <v>0.69499999999999995</v>
      </c>
      <c r="L190">
        <f t="shared" si="5"/>
        <v>69.5</v>
      </c>
    </row>
    <row r="191" spans="2:12" x14ac:dyDescent="0.2">
      <c r="B191" s="80">
        <v>10.6</v>
      </c>
      <c r="C191" s="80">
        <v>0.82799999999999996</v>
      </c>
      <c r="D191">
        <f t="shared" si="3"/>
        <v>82.8</v>
      </c>
      <c r="F191" s="80">
        <v>10.6</v>
      </c>
      <c r="G191" s="80">
        <v>0.61</v>
      </c>
      <c r="H191">
        <f t="shared" si="4"/>
        <v>61</v>
      </c>
      <c r="J191" s="249">
        <v>8.6199999999999992</v>
      </c>
      <c r="K191" s="249">
        <v>0.69499999999999995</v>
      </c>
      <c r="L191">
        <f t="shared" si="5"/>
        <v>69.5</v>
      </c>
    </row>
    <row r="192" spans="2:12" x14ac:dyDescent="0.2">
      <c r="B192" s="80">
        <v>11.1</v>
      </c>
      <c r="C192" s="80">
        <v>0.83099999999999996</v>
      </c>
      <c r="D192">
        <f t="shared" si="3"/>
        <v>83.1</v>
      </c>
      <c r="F192" s="80">
        <v>10.7</v>
      </c>
      <c r="G192" s="80">
        <v>0.63500000000000001</v>
      </c>
      <c r="H192">
        <f t="shared" si="4"/>
        <v>63.5</v>
      </c>
      <c r="J192" s="249">
        <v>8.98</v>
      </c>
      <c r="K192" s="249">
        <v>0.69899999999999995</v>
      </c>
      <c r="L192">
        <f t="shared" si="5"/>
        <v>69.899999999999991</v>
      </c>
    </row>
    <row r="193" spans="2:12" x14ac:dyDescent="0.2">
      <c r="B193" s="80">
        <v>11.5</v>
      </c>
      <c r="C193" s="80">
        <v>0.83899999999999997</v>
      </c>
      <c r="D193">
        <f t="shared" si="3"/>
        <v>83.899999999999991</v>
      </c>
      <c r="F193" s="80">
        <v>11</v>
      </c>
      <c r="G193" s="80">
        <v>0.65200000000000002</v>
      </c>
      <c r="H193">
        <f t="shared" si="4"/>
        <v>65.2</v>
      </c>
      <c r="J193" s="249">
        <v>9.34</v>
      </c>
      <c r="K193" s="249">
        <v>0.70599999999999996</v>
      </c>
      <c r="L193">
        <f t="shared" si="5"/>
        <v>70.599999999999994</v>
      </c>
    </row>
    <row r="194" spans="2:12" x14ac:dyDescent="0.2">
      <c r="B194" s="80">
        <v>12.1</v>
      </c>
      <c r="C194" s="80">
        <v>0.83199999999999996</v>
      </c>
      <c r="D194">
        <f t="shared" si="3"/>
        <v>83.2</v>
      </c>
      <c r="F194" s="80">
        <v>11.1</v>
      </c>
      <c r="G194" s="80">
        <v>0.65600000000000003</v>
      </c>
      <c r="H194">
        <f t="shared" si="4"/>
        <v>65.600000000000009</v>
      </c>
      <c r="J194" s="249">
        <v>9.4499999999999993</v>
      </c>
      <c r="K194" s="249">
        <v>0.70599999999999996</v>
      </c>
      <c r="L194">
        <f t="shared" si="5"/>
        <v>70.599999999999994</v>
      </c>
    </row>
    <row r="195" spans="2:12" x14ac:dyDescent="0.2">
      <c r="B195" s="80">
        <v>12.8</v>
      </c>
      <c r="C195" s="80">
        <v>0.84299999999999997</v>
      </c>
      <c r="D195">
        <f t="shared" si="3"/>
        <v>84.3</v>
      </c>
      <c r="F195" s="80">
        <v>11.5</v>
      </c>
      <c r="G195" s="80">
        <v>0.65600000000000003</v>
      </c>
      <c r="H195">
        <f t="shared" si="4"/>
        <v>65.600000000000009</v>
      </c>
      <c r="J195" s="249">
        <v>9.76</v>
      </c>
      <c r="K195" s="249">
        <v>0.70599999999999996</v>
      </c>
      <c r="L195">
        <f t="shared" si="5"/>
        <v>70.599999999999994</v>
      </c>
    </row>
    <row r="196" spans="2:12" x14ac:dyDescent="0.2">
      <c r="B196" s="80">
        <v>13.3</v>
      </c>
      <c r="C196" s="80">
        <v>0.84299999999999997</v>
      </c>
      <c r="D196">
        <f t="shared" si="3"/>
        <v>84.3</v>
      </c>
      <c r="F196" s="80">
        <v>11.9</v>
      </c>
      <c r="G196" s="80">
        <v>0.68799999999999994</v>
      </c>
      <c r="H196">
        <f t="shared" si="4"/>
        <v>68.8</v>
      </c>
      <c r="J196" s="249">
        <v>10</v>
      </c>
      <c r="K196" s="249">
        <v>0.71299999999999997</v>
      </c>
      <c r="L196">
        <f t="shared" si="5"/>
        <v>71.3</v>
      </c>
    </row>
    <row r="197" spans="2:12" x14ac:dyDescent="0.2">
      <c r="B197" s="80">
        <v>13.7</v>
      </c>
      <c r="C197" s="80">
        <v>0.84599999999999997</v>
      </c>
      <c r="D197">
        <f t="shared" si="3"/>
        <v>84.6</v>
      </c>
      <c r="F197" s="80">
        <v>12.4</v>
      </c>
      <c r="G197" s="80">
        <v>0.71299999999999997</v>
      </c>
      <c r="H197">
        <f t="shared" si="4"/>
        <v>71.3</v>
      </c>
      <c r="J197" s="249">
        <v>10.4</v>
      </c>
      <c r="K197" s="249">
        <v>0.71699999999999997</v>
      </c>
      <c r="L197">
        <f t="shared" si="5"/>
        <v>71.7</v>
      </c>
    </row>
    <row r="198" spans="2:12" x14ac:dyDescent="0.2">
      <c r="B198" s="80">
        <v>14.1</v>
      </c>
      <c r="C198" s="80">
        <v>0.84599999999999997</v>
      </c>
      <c r="D198">
        <f t="shared" si="3"/>
        <v>84.6</v>
      </c>
      <c r="F198" s="80">
        <v>12.5</v>
      </c>
      <c r="G198" s="80">
        <v>0.72399999999999998</v>
      </c>
      <c r="H198">
        <f t="shared" si="4"/>
        <v>72.399999999999991</v>
      </c>
      <c r="J198" s="249">
        <v>10.7</v>
      </c>
      <c r="K198" s="249">
        <v>0.71299999999999997</v>
      </c>
      <c r="L198">
        <f t="shared" si="5"/>
        <v>71.3</v>
      </c>
    </row>
    <row r="199" spans="2:12" x14ac:dyDescent="0.2">
      <c r="B199" s="80">
        <v>14.5</v>
      </c>
      <c r="C199" s="80">
        <v>0.85</v>
      </c>
      <c r="D199">
        <f t="shared" si="3"/>
        <v>85</v>
      </c>
      <c r="F199" s="80">
        <v>12.9</v>
      </c>
      <c r="G199" s="80">
        <v>0.73799999999999999</v>
      </c>
      <c r="H199">
        <f t="shared" si="4"/>
        <v>73.8</v>
      </c>
      <c r="J199" s="249">
        <v>11.1</v>
      </c>
      <c r="K199" s="249">
        <v>0.71699999999999997</v>
      </c>
      <c r="L199">
        <f t="shared" si="5"/>
        <v>71.7</v>
      </c>
    </row>
    <row r="200" spans="2:12" x14ac:dyDescent="0.2">
      <c r="B200" s="80">
        <v>15</v>
      </c>
      <c r="C200" s="80">
        <v>0.85</v>
      </c>
      <c r="D200">
        <f t="shared" si="3"/>
        <v>85</v>
      </c>
      <c r="F200" s="80">
        <v>13.2</v>
      </c>
      <c r="G200" s="80">
        <v>0.745</v>
      </c>
      <c r="H200">
        <f t="shared" si="4"/>
        <v>74.5</v>
      </c>
      <c r="J200" s="249">
        <v>11.2</v>
      </c>
      <c r="K200" s="249">
        <v>0.71699999999999997</v>
      </c>
      <c r="L200">
        <f t="shared" si="5"/>
        <v>71.7</v>
      </c>
    </row>
    <row r="201" spans="2:12" x14ac:dyDescent="0.2">
      <c r="B201" s="80">
        <v>15.5</v>
      </c>
      <c r="C201" s="80">
        <v>0.85399999999999998</v>
      </c>
      <c r="D201">
        <f t="shared" si="3"/>
        <v>85.399999999999991</v>
      </c>
      <c r="F201" s="80">
        <v>13.7</v>
      </c>
      <c r="G201" s="80">
        <v>0.75900000000000001</v>
      </c>
      <c r="H201">
        <f t="shared" si="4"/>
        <v>75.900000000000006</v>
      </c>
      <c r="J201" s="249">
        <v>11.4</v>
      </c>
      <c r="K201" s="249">
        <v>0.71699999999999997</v>
      </c>
      <c r="L201">
        <f t="shared" si="5"/>
        <v>71.7</v>
      </c>
    </row>
    <row r="202" spans="2:12" x14ac:dyDescent="0.2">
      <c r="B202" s="80">
        <v>15.9</v>
      </c>
      <c r="C202" s="80">
        <v>0.85399999999999998</v>
      </c>
      <c r="D202">
        <f t="shared" si="3"/>
        <v>85.399999999999991</v>
      </c>
      <c r="F202" s="80">
        <v>13.9</v>
      </c>
      <c r="G202" s="80">
        <v>0.78100000000000003</v>
      </c>
      <c r="H202">
        <f t="shared" si="4"/>
        <v>78.100000000000009</v>
      </c>
      <c r="J202" s="249">
        <v>11.5</v>
      </c>
      <c r="K202" s="249">
        <v>0.71699999999999997</v>
      </c>
      <c r="L202">
        <f t="shared" si="5"/>
        <v>71.7</v>
      </c>
    </row>
    <row r="203" spans="2:12" x14ac:dyDescent="0.2">
      <c r="B203" s="80">
        <v>16.3</v>
      </c>
      <c r="C203" s="80">
        <v>0.85399999999999998</v>
      </c>
      <c r="D203">
        <f t="shared" si="3"/>
        <v>85.399999999999991</v>
      </c>
      <c r="F203" s="80">
        <v>14.5</v>
      </c>
      <c r="G203" s="80">
        <v>0.78700000000000003</v>
      </c>
      <c r="H203">
        <f t="shared" si="4"/>
        <v>78.7</v>
      </c>
      <c r="J203" s="249">
        <v>12</v>
      </c>
      <c r="K203" s="249">
        <v>0.72</v>
      </c>
      <c r="L203">
        <f t="shared" si="5"/>
        <v>72</v>
      </c>
    </row>
    <row r="204" spans="2:12" x14ac:dyDescent="0.2">
      <c r="B204" s="80">
        <v>16.8</v>
      </c>
      <c r="C204" s="80">
        <v>0.85799999999999998</v>
      </c>
      <c r="D204">
        <f t="shared" si="3"/>
        <v>85.8</v>
      </c>
      <c r="F204" s="80">
        <v>15</v>
      </c>
      <c r="G204" s="80">
        <v>0.79100000000000004</v>
      </c>
      <c r="H204">
        <f t="shared" si="4"/>
        <v>79.100000000000009</v>
      </c>
      <c r="J204" s="249">
        <v>12.1</v>
      </c>
      <c r="K204" s="249">
        <v>0.72799999999999998</v>
      </c>
      <c r="L204">
        <f t="shared" si="5"/>
        <v>72.8</v>
      </c>
    </row>
    <row r="205" spans="2:12" x14ac:dyDescent="0.2">
      <c r="B205" s="80">
        <v>17.2</v>
      </c>
      <c r="C205" s="80">
        <v>0.86199999999999999</v>
      </c>
      <c r="D205">
        <f t="shared" si="3"/>
        <v>86.2</v>
      </c>
      <c r="F205" s="80">
        <v>15.1</v>
      </c>
      <c r="G205" s="80">
        <v>0.80100000000000005</v>
      </c>
      <c r="H205">
        <f t="shared" si="4"/>
        <v>80.100000000000009</v>
      </c>
      <c r="J205" s="249">
        <v>12.8</v>
      </c>
      <c r="K205" s="249">
        <v>0.72</v>
      </c>
      <c r="L205">
        <f t="shared" si="5"/>
        <v>72</v>
      </c>
    </row>
    <row r="206" spans="2:12" x14ac:dyDescent="0.2">
      <c r="B206" s="80">
        <v>17.600000000000001</v>
      </c>
      <c r="C206" s="80">
        <v>0.86499999999999999</v>
      </c>
      <c r="D206">
        <f t="shared" si="3"/>
        <v>86.5</v>
      </c>
      <c r="F206" s="80">
        <v>15.6</v>
      </c>
      <c r="G206" s="80">
        <v>0.80500000000000005</v>
      </c>
      <c r="H206">
        <f t="shared" si="4"/>
        <v>80.5</v>
      </c>
      <c r="J206" s="249">
        <v>13.1</v>
      </c>
      <c r="K206" s="249">
        <v>0.72799999999999998</v>
      </c>
      <c r="L206">
        <f t="shared" si="5"/>
        <v>72.8</v>
      </c>
    </row>
    <row r="207" spans="2:12" x14ac:dyDescent="0.2">
      <c r="B207" s="80">
        <v>18.2</v>
      </c>
      <c r="C207" s="80">
        <v>0.86899999999999999</v>
      </c>
      <c r="D207">
        <f t="shared" si="3"/>
        <v>86.9</v>
      </c>
      <c r="F207" s="80">
        <v>16</v>
      </c>
      <c r="G207" s="80">
        <v>0.80800000000000005</v>
      </c>
      <c r="H207">
        <f t="shared" si="4"/>
        <v>80.800000000000011</v>
      </c>
      <c r="J207" s="249">
        <v>13.4</v>
      </c>
      <c r="K207" s="249">
        <v>0.72799999999999998</v>
      </c>
      <c r="L207">
        <f t="shared" si="5"/>
        <v>72.8</v>
      </c>
    </row>
    <row r="208" spans="2:12" x14ac:dyDescent="0.2">
      <c r="B208" s="80">
        <v>18.5</v>
      </c>
      <c r="C208" s="80">
        <v>0.86899999999999999</v>
      </c>
      <c r="D208">
        <f t="shared" si="3"/>
        <v>86.9</v>
      </c>
      <c r="F208" s="80">
        <v>16.399999999999999</v>
      </c>
      <c r="G208" s="80">
        <v>0.81899999999999995</v>
      </c>
      <c r="H208">
        <f t="shared" si="4"/>
        <v>81.899999999999991</v>
      </c>
      <c r="J208" s="249">
        <v>13.6</v>
      </c>
      <c r="K208" s="249">
        <v>0.72799999999999998</v>
      </c>
      <c r="L208">
        <f t="shared" si="5"/>
        <v>72.8</v>
      </c>
    </row>
    <row r="209" spans="2:12" x14ac:dyDescent="0.2">
      <c r="B209" s="80">
        <v>18.8</v>
      </c>
      <c r="C209" s="80">
        <v>0.86899999999999999</v>
      </c>
      <c r="D209">
        <f t="shared" si="3"/>
        <v>86.9</v>
      </c>
      <c r="F209" s="80">
        <v>16.899999999999999</v>
      </c>
      <c r="G209" s="80">
        <v>0.82899999999999996</v>
      </c>
      <c r="H209">
        <f t="shared" si="4"/>
        <v>82.899999999999991</v>
      </c>
      <c r="J209" s="249">
        <v>13.9</v>
      </c>
      <c r="K209" s="249">
        <v>0.72799999999999998</v>
      </c>
      <c r="L209">
        <f t="shared" si="5"/>
        <v>72.8</v>
      </c>
    </row>
    <row r="210" spans="2:12" x14ac:dyDescent="0.2">
      <c r="B210" s="80">
        <v>19.2</v>
      </c>
      <c r="C210" s="80">
        <v>0.86899999999999999</v>
      </c>
      <c r="D210">
        <f t="shared" si="3"/>
        <v>86.9</v>
      </c>
      <c r="F210" s="80">
        <v>17.3</v>
      </c>
      <c r="G210" s="80">
        <v>0.84</v>
      </c>
      <c r="H210">
        <f t="shared" si="4"/>
        <v>84</v>
      </c>
      <c r="J210" s="249">
        <v>14.1</v>
      </c>
      <c r="K210" s="249">
        <v>0.72799999999999998</v>
      </c>
      <c r="L210">
        <f t="shared" si="5"/>
        <v>72.8</v>
      </c>
    </row>
    <row r="211" spans="2:12" x14ac:dyDescent="0.2">
      <c r="B211" s="80">
        <v>19.5</v>
      </c>
      <c r="C211" s="80">
        <v>0.873</v>
      </c>
      <c r="D211">
        <f t="shared" si="3"/>
        <v>87.3</v>
      </c>
      <c r="F211" s="80">
        <v>17.8</v>
      </c>
      <c r="G211" s="80">
        <v>0.84299999999999997</v>
      </c>
      <c r="H211">
        <f t="shared" si="4"/>
        <v>84.3</v>
      </c>
      <c r="J211" s="249">
        <v>14.4</v>
      </c>
      <c r="K211" s="249">
        <v>0.73099999999999998</v>
      </c>
      <c r="L211">
        <f t="shared" si="5"/>
        <v>73.099999999999994</v>
      </c>
    </row>
    <row r="212" spans="2:12" x14ac:dyDescent="0.2">
      <c r="B212" s="80">
        <v>19.8</v>
      </c>
      <c r="C212" s="80">
        <v>0.873</v>
      </c>
      <c r="D212">
        <f t="shared" si="3"/>
        <v>87.3</v>
      </c>
      <c r="F212" s="80">
        <v>18.2</v>
      </c>
      <c r="G212" s="80">
        <v>0.85</v>
      </c>
      <c r="H212">
        <f t="shared" si="4"/>
        <v>85</v>
      </c>
      <c r="J212" s="249">
        <v>15</v>
      </c>
      <c r="K212" s="249">
        <v>0.72799999999999998</v>
      </c>
      <c r="L212">
        <f t="shared" si="5"/>
        <v>72.8</v>
      </c>
    </row>
    <row r="213" spans="2:12" x14ac:dyDescent="0.2">
      <c r="B213" s="80">
        <v>20</v>
      </c>
      <c r="C213" s="80">
        <v>0.873</v>
      </c>
      <c r="D213">
        <f t="shared" si="3"/>
        <v>87.3</v>
      </c>
      <c r="F213" s="80">
        <v>18.7</v>
      </c>
      <c r="G213" s="80">
        <v>0.85</v>
      </c>
      <c r="H213">
        <f t="shared" si="4"/>
        <v>85</v>
      </c>
      <c r="J213" s="249">
        <v>15.4</v>
      </c>
      <c r="K213" s="249">
        <v>0.72799999999999998</v>
      </c>
      <c r="L213">
        <f t="shared" si="5"/>
        <v>72.8</v>
      </c>
    </row>
    <row r="214" spans="2:12" x14ac:dyDescent="0.2">
      <c r="B214" s="80">
        <v>20.100000000000001</v>
      </c>
      <c r="C214" s="80">
        <v>0.877</v>
      </c>
      <c r="D214">
        <f t="shared" si="3"/>
        <v>87.7</v>
      </c>
      <c r="F214" s="80">
        <v>19.2</v>
      </c>
      <c r="G214" s="80">
        <v>0.86399999999999999</v>
      </c>
      <c r="H214">
        <f t="shared" si="4"/>
        <v>86.4</v>
      </c>
      <c r="J214" s="249">
        <v>16</v>
      </c>
      <c r="K214" s="249">
        <v>0.72799999999999998</v>
      </c>
      <c r="L214">
        <f t="shared" si="5"/>
        <v>72.8</v>
      </c>
    </row>
    <row r="215" spans="2:12" x14ac:dyDescent="0.2">
      <c r="B215" s="80">
        <v>20.5</v>
      </c>
      <c r="C215" s="80">
        <v>0.88</v>
      </c>
      <c r="D215">
        <f t="shared" si="3"/>
        <v>88</v>
      </c>
      <c r="F215" s="80">
        <v>19.7</v>
      </c>
      <c r="G215" s="80">
        <v>0.86799999999999999</v>
      </c>
      <c r="H215">
        <f t="shared" si="4"/>
        <v>86.8</v>
      </c>
      <c r="J215" s="249">
        <v>16.3</v>
      </c>
      <c r="K215" s="249">
        <v>0.73499999999999999</v>
      </c>
      <c r="L215">
        <f t="shared" si="5"/>
        <v>73.5</v>
      </c>
    </row>
    <row r="216" spans="2:12" x14ac:dyDescent="0.2">
      <c r="B216" s="80">
        <v>21</v>
      </c>
      <c r="C216" s="80">
        <v>0.88</v>
      </c>
      <c r="D216">
        <f t="shared" si="3"/>
        <v>88</v>
      </c>
      <c r="F216" s="80">
        <v>20.2</v>
      </c>
      <c r="G216" s="80">
        <v>0.871</v>
      </c>
      <c r="H216">
        <f t="shared" si="4"/>
        <v>87.1</v>
      </c>
      <c r="J216" s="249">
        <v>16.7</v>
      </c>
      <c r="K216" s="249">
        <v>0.73499999999999999</v>
      </c>
      <c r="L216">
        <f t="shared" si="5"/>
        <v>73.5</v>
      </c>
    </row>
    <row r="217" spans="2:12" x14ac:dyDescent="0.2">
      <c r="B217" s="80">
        <v>21.7</v>
      </c>
      <c r="C217" s="80">
        <v>0.877</v>
      </c>
      <c r="D217">
        <f t="shared" si="3"/>
        <v>87.7</v>
      </c>
      <c r="F217" s="80">
        <v>20.7</v>
      </c>
      <c r="G217" s="80">
        <v>0.878</v>
      </c>
      <c r="H217">
        <f t="shared" si="4"/>
        <v>87.8</v>
      </c>
      <c r="J217" s="249">
        <v>17.3</v>
      </c>
      <c r="K217" s="249">
        <v>0.73799999999999999</v>
      </c>
      <c r="L217">
        <f t="shared" si="5"/>
        <v>73.8</v>
      </c>
    </row>
    <row r="218" spans="2:12" x14ac:dyDescent="0.2">
      <c r="B218" s="80">
        <v>22.2</v>
      </c>
      <c r="C218" s="80">
        <v>0.88800000000000001</v>
      </c>
      <c r="D218">
        <f t="shared" si="3"/>
        <v>88.8</v>
      </c>
      <c r="F218" s="80">
        <v>21.4</v>
      </c>
      <c r="G218" s="80">
        <v>0.88500000000000001</v>
      </c>
      <c r="H218">
        <f t="shared" si="4"/>
        <v>88.5</v>
      </c>
      <c r="J218" s="249">
        <v>17.8</v>
      </c>
      <c r="K218" s="249">
        <v>0.74199999999999999</v>
      </c>
      <c r="L218">
        <f t="shared" si="5"/>
        <v>74.2</v>
      </c>
    </row>
    <row r="219" spans="2:12" x14ac:dyDescent="0.2">
      <c r="B219" s="80">
        <v>22.6</v>
      </c>
      <c r="C219" s="80">
        <v>0.88800000000000001</v>
      </c>
      <c r="D219">
        <f t="shared" si="3"/>
        <v>88.8</v>
      </c>
      <c r="F219" s="80">
        <v>21.7</v>
      </c>
      <c r="G219" s="80">
        <v>0.88800000000000001</v>
      </c>
      <c r="H219">
        <f t="shared" si="4"/>
        <v>88.8</v>
      </c>
      <c r="J219" s="249">
        <v>18</v>
      </c>
      <c r="K219" s="249">
        <v>0.74199999999999999</v>
      </c>
      <c r="L219">
        <f t="shared" si="5"/>
        <v>74.2</v>
      </c>
    </row>
    <row r="220" spans="2:12" x14ac:dyDescent="0.2">
      <c r="B220" s="80">
        <v>23.1</v>
      </c>
      <c r="C220" s="80">
        <v>0.89500000000000002</v>
      </c>
      <c r="D220">
        <f t="shared" si="3"/>
        <v>89.5</v>
      </c>
      <c r="F220" s="80">
        <v>22.1</v>
      </c>
      <c r="G220" s="80">
        <v>0.88800000000000001</v>
      </c>
      <c r="H220">
        <f t="shared" si="4"/>
        <v>88.8</v>
      </c>
      <c r="J220" s="249">
        <v>18.399999999999999</v>
      </c>
      <c r="K220" s="249">
        <v>0.74199999999999999</v>
      </c>
      <c r="L220">
        <f t="shared" si="5"/>
        <v>74.2</v>
      </c>
    </row>
    <row r="221" spans="2:12" x14ac:dyDescent="0.2">
      <c r="B221" s="80">
        <v>23.7</v>
      </c>
      <c r="C221" s="80">
        <v>0.89500000000000002</v>
      </c>
      <c r="D221">
        <f t="shared" si="3"/>
        <v>89.5</v>
      </c>
      <c r="F221" s="80">
        <v>22.4</v>
      </c>
      <c r="G221" s="80">
        <v>0.89500000000000002</v>
      </c>
      <c r="H221">
        <f t="shared" si="4"/>
        <v>89.5</v>
      </c>
      <c r="J221" s="249">
        <v>18.8</v>
      </c>
      <c r="K221" s="249">
        <v>0.746</v>
      </c>
      <c r="L221">
        <f t="shared" si="5"/>
        <v>74.599999999999994</v>
      </c>
    </row>
    <row r="222" spans="2:12" x14ac:dyDescent="0.2">
      <c r="B222" s="80">
        <v>24.3</v>
      </c>
      <c r="C222" s="80">
        <v>0.89500000000000002</v>
      </c>
      <c r="D222">
        <f t="shared" si="3"/>
        <v>89.5</v>
      </c>
      <c r="F222" s="80">
        <v>22.9</v>
      </c>
      <c r="G222" s="80">
        <v>0.89100000000000001</v>
      </c>
      <c r="H222">
        <f t="shared" si="4"/>
        <v>89.1</v>
      </c>
      <c r="J222" s="249">
        <v>19.100000000000001</v>
      </c>
      <c r="K222" s="249">
        <v>0.746</v>
      </c>
      <c r="L222">
        <f t="shared" si="5"/>
        <v>74.599999999999994</v>
      </c>
    </row>
    <row r="223" spans="2:12" x14ac:dyDescent="0.2">
      <c r="B223" s="80">
        <v>24.9</v>
      </c>
      <c r="C223" s="80">
        <v>0.89600000000000002</v>
      </c>
      <c r="D223">
        <f t="shared" si="3"/>
        <v>89.600000000000009</v>
      </c>
      <c r="F223" s="80">
        <v>23.2</v>
      </c>
      <c r="G223" s="80">
        <v>0.89800000000000002</v>
      </c>
      <c r="H223">
        <f t="shared" si="4"/>
        <v>89.8</v>
      </c>
      <c r="J223" s="249">
        <v>19.3</v>
      </c>
      <c r="K223" s="249">
        <v>0.746</v>
      </c>
      <c r="L223">
        <f t="shared" si="5"/>
        <v>74.599999999999994</v>
      </c>
    </row>
    <row r="224" spans="2:12" x14ac:dyDescent="0.2">
      <c r="B224" s="80">
        <v>25.4</v>
      </c>
      <c r="C224" s="80">
        <v>0.90300000000000002</v>
      </c>
      <c r="D224">
        <f t="shared" ref="D224:D248" si="6">100*C224</f>
        <v>90.3</v>
      </c>
      <c r="F224" s="80">
        <v>23.6</v>
      </c>
      <c r="G224" s="80">
        <v>0.89800000000000002</v>
      </c>
      <c r="H224">
        <f t="shared" ref="H224:H250" si="7">100*G224</f>
        <v>89.8</v>
      </c>
      <c r="J224" s="249">
        <v>19.8</v>
      </c>
      <c r="K224" s="249">
        <v>0.749</v>
      </c>
      <c r="L224">
        <f t="shared" ref="L224:L251" si="8">100*K224</f>
        <v>74.900000000000006</v>
      </c>
    </row>
    <row r="225" spans="2:12" x14ac:dyDescent="0.2">
      <c r="B225" s="80">
        <v>26.1</v>
      </c>
      <c r="C225" s="80">
        <v>0.90300000000000002</v>
      </c>
      <c r="D225">
        <f t="shared" si="6"/>
        <v>90.3</v>
      </c>
      <c r="F225" s="80">
        <v>24</v>
      </c>
      <c r="G225" s="80">
        <v>0.90100000000000002</v>
      </c>
      <c r="H225">
        <f t="shared" si="7"/>
        <v>90.100000000000009</v>
      </c>
      <c r="J225" s="249">
        <v>20.100000000000001</v>
      </c>
      <c r="K225" s="249">
        <v>0.749</v>
      </c>
      <c r="L225">
        <f t="shared" si="8"/>
        <v>74.900000000000006</v>
      </c>
    </row>
    <row r="226" spans="2:12" x14ac:dyDescent="0.2">
      <c r="B226" s="80">
        <v>26.6</v>
      </c>
      <c r="C226" s="80">
        <v>0.9</v>
      </c>
      <c r="D226">
        <f t="shared" si="6"/>
        <v>90</v>
      </c>
      <c r="F226" s="80">
        <v>24.5</v>
      </c>
      <c r="G226" s="80">
        <v>0.89700000000000002</v>
      </c>
      <c r="H226">
        <f t="shared" si="7"/>
        <v>89.7</v>
      </c>
      <c r="J226" s="249">
        <v>20.6</v>
      </c>
      <c r="K226" s="249">
        <v>0.753</v>
      </c>
      <c r="L226">
        <f t="shared" si="8"/>
        <v>75.3</v>
      </c>
    </row>
    <row r="227" spans="2:12" x14ac:dyDescent="0.2">
      <c r="B227" s="80">
        <v>27.2</v>
      </c>
      <c r="C227" s="80">
        <v>0.90700000000000003</v>
      </c>
      <c r="D227">
        <f t="shared" si="6"/>
        <v>90.7</v>
      </c>
      <c r="F227" s="80">
        <v>25</v>
      </c>
      <c r="G227" s="80">
        <v>0.90400000000000003</v>
      </c>
      <c r="H227">
        <f t="shared" si="7"/>
        <v>90.4</v>
      </c>
      <c r="J227" s="249">
        <v>21.1</v>
      </c>
      <c r="K227" s="249">
        <v>0.753</v>
      </c>
      <c r="L227">
        <f t="shared" si="8"/>
        <v>75.3</v>
      </c>
    </row>
    <row r="228" spans="2:12" x14ac:dyDescent="0.2">
      <c r="B228" s="80">
        <v>28</v>
      </c>
      <c r="C228" s="80">
        <v>0.90700000000000003</v>
      </c>
      <c r="D228">
        <f t="shared" si="6"/>
        <v>90.7</v>
      </c>
      <c r="F228" s="80">
        <v>25.4</v>
      </c>
      <c r="G228" s="80">
        <v>0.90100000000000002</v>
      </c>
      <c r="H228">
        <f t="shared" si="7"/>
        <v>90.100000000000009</v>
      </c>
      <c r="J228" s="249">
        <v>21.6</v>
      </c>
      <c r="K228" s="249">
        <v>0.75600000000000001</v>
      </c>
      <c r="L228">
        <f t="shared" si="8"/>
        <v>75.599999999999994</v>
      </c>
    </row>
    <row r="229" spans="2:12" x14ac:dyDescent="0.2">
      <c r="B229" s="80">
        <v>28.6</v>
      </c>
      <c r="C229" s="80">
        <v>0.90400000000000003</v>
      </c>
      <c r="D229">
        <f t="shared" si="6"/>
        <v>90.4</v>
      </c>
      <c r="F229" s="80">
        <v>25.8</v>
      </c>
      <c r="G229" s="80">
        <v>0.9</v>
      </c>
      <c r="H229">
        <f t="shared" si="7"/>
        <v>90</v>
      </c>
      <c r="J229" s="249">
        <v>22.2</v>
      </c>
      <c r="K229" s="249">
        <v>0.75600000000000001</v>
      </c>
      <c r="L229">
        <f t="shared" si="8"/>
        <v>75.599999999999994</v>
      </c>
    </row>
    <row r="230" spans="2:12" x14ac:dyDescent="0.2">
      <c r="B230" s="80">
        <v>29</v>
      </c>
      <c r="C230" s="80">
        <v>0.90700000000000003</v>
      </c>
      <c r="D230">
        <f t="shared" si="6"/>
        <v>90.7</v>
      </c>
      <c r="F230" s="80">
        <v>26.3</v>
      </c>
      <c r="G230" s="80">
        <v>0.90400000000000003</v>
      </c>
      <c r="H230">
        <f t="shared" si="7"/>
        <v>90.4</v>
      </c>
      <c r="J230" s="249">
        <v>22.5</v>
      </c>
      <c r="K230" s="249">
        <v>0.75600000000000001</v>
      </c>
      <c r="L230">
        <f t="shared" si="8"/>
        <v>75.599999999999994</v>
      </c>
    </row>
    <row r="231" spans="2:12" x14ac:dyDescent="0.2">
      <c r="B231" s="80">
        <v>29.6</v>
      </c>
      <c r="C231" s="80">
        <v>0.90700000000000003</v>
      </c>
      <c r="D231">
        <f t="shared" si="6"/>
        <v>90.7</v>
      </c>
      <c r="F231" s="80">
        <v>26.5</v>
      </c>
      <c r="G231" s="80">
        <v>0.90400000000000003</v>
      </c>
      <c r="H231">
        <f t="shared" si="7"/>
        <v>90.4</v>
      </c>
      <c r="J231" s="249">
        <v>23</v>
      </c>
      <c r="K231" s="249">
        <v>0.75600000000000001</v>
      </c>
      <c r="L231">
        <f t="shared" si="8"/>
        <v>75.599999999999994</v>
      </c>
    </row>
    <row r="232" spans="2:12" x14ac:dyDescent="0.2">
      <c r="B232" s="80">
        <v>30.3</v>
      </c>
      <c r="C232" s="80">
        <v>0.91100000000000003</v>
      </c>
      <c r="D232">
        <f t="shared" si="6"/>
        <v>91.100000000000009</v>
      </c>
      <c r="F232" s="80">
        <v>26.7</v>
      </c>
      <c r="G232" s="80">
        <v>0.90400000000000003</v>
      </c>
      <c r="H232">
        <f t="shared" si="7"/>
        <v>90.4</v>
      </c>
      <c r="J232" s="249">
        <v>23.4</v>
      </c>
      <c r="K232" s="249">
        <v>0.75600000000000001</v>
      </c>
      <c r="L232">
        <f t="shared" si="8"/>
        <v>75.599999999999994</v>
      </c>
    </row>
    <row r="233" spans="2:12" x14ac:dyDescent="0.2">
      <c r="B233" s="80">
        <v>30.9</v>
      </c>
      <c r="C233" s="80">
        <v>0.91100000000000003</v>
      </c>
      <c r="D233">
        <f t="shared" si="6"/>
        <v>91.100000000000009</v>
      </c>
      <c r="F233" s="80">
        <v>27</v>
      </c>
      <c r="G233" s="80">
        <v>0.90300000000000002</v>
      </c>
      <c r="H233">
        <f t="shared" si="7"/>
        <v>90.3</v>
      </c>
      <c r="J233" s="249">
        <v>24</v>
      </c>
      <c r="K233" s="249">
        <v>0.76</v>
      </c>
      <c r="L233">
        <f t="shared" si="8"/>
        <v>76</v>
      </c>
    </row>
    <row r="234" spans="2:12" x14ac:dyDescent="0.2">
      <c r="B234" s="80">
        <v>31.1</v>
      </c>
      <c r="C234" s="80">
        <v>0.91100000000000003</v>
      </c>
      <c r="D234">
        <f t="shared" si="6"/>
        <v>91.100000000000009</v>
      </c>
      <c r="F234" s="80">
        <v>27.3</v>
      </c>
      <c r="G234" s="80">
        <v>0.90300000000000002</v>
      </c>
      <c r="H234">
        <f t="shared" si="7"/>
        <v>90.3</v>
      </c>
      <c r="J234" s="249">
        <v>24.5</v>
      </c>
      <c r="K234" s="249">
        <v>0.76</v>
      </c>
      <c r="L234">
        <f t="shared" si="8"/>
        <v>76</v>
      </c>
    </row>
    <row r="235" spans="2:12" x14ac:dyDescent="0.2">
      <c r="B235" s="80">
        <v>31.5</v>
      </c>
      <c r="C235" s="80">
        <v>0.90800000000000003</v>
      </c>
      <c r="D235">
        <f t="shared" si="6"/>
        <v>90.8</v>
      </c>
      <c r="F235" s="80">
        <v>27.5</v>
      </c>
      <c r="G235" s="80">
        <v>0.90300000000000002</v>
      </c>
      <c r="H235">
        <f t="shared" si="7"/>
        <v>90.3</v>
      </c>
      <c r="J235" s="249">
        <v>25.1</v>
      </c>
      <c r="K235" s="249">
        <v>0.76</v>
      </c>
      <c r="L235">
        <f t="shared" si="8"/>
        <v>76</v>
      </c>
    </row>
    <row r="236" spans="2:12" x14ac:dyDescent="0.2">
      <c r="B236" s="80">
        <v>32</v>
      </c>
      <c r="C236" s="80">
        <v>0.91500000000000004</v>
      </c>
      <c r="D236">
        <f t="shared" si="6"/>
        <v>91.5</v>
      </c>
      <c r="F236" s="80">
        <v>27.8</v>
      </c>
      <c r="G236" s="80">
        <v>0.90300000000000002</v>
      </c>
      <c r="H236">
        <f t="shared" si="7"/>
        <v>90.3</v>
      </c>
      <c r="J236" s="249">
        <v>25.6</v>
      </c>
      <c r="K236" s="249">
        <v>0.76300000000000001</v>
      </c>
      <c r="L236">
        <f t="shared" si="8"/>
        <v>76.3</v>
      </c>
    </row>
    <row r="237" spans="2:12" x14ac:dyDescent="0.2">
      <c r="B237" s="80">
        <v>23.2</v>
      </c>
      <c r="C237" s="80">
        <v>0.88200000000000001</v>
      </c>
      <c r="D237">
        <f t="shared" si="6"/>
        <v>88.2</v>
      </c>
      <c r="F237" s="80">
        <v>28.1</v>
      </c>
      <c r="G237" s="80">
        <v>0.90600000000000003</v>
      </c>
      <c r="H237">
        <f t="shared" si="7"/>
        <v>90.600000000000009</v>
      </c>
      <c r="J237" s="249">
        <v>26.1</v>
      </c>
      <c r="K237" s="249">
        <v>0.76700000000000002</v>
      </c>
      <c r="L237">
        <f t="shared" si="8"/>
        <v>76.7</v>
      </c>
    </row>
    <row r="238" spans="2:12" x14ac:dyDescent="0.2">
      <c r="B238" s="80">
        <v>23.5</v>
      </c>
      <c r="C238" s="80">
        <v>0.88200000000000001</v>
      </c>
      <c r="D238">
        <f t="shared" si="6"/>
        <v>88.2</v>
      </c>
      <c r="F238" s="80">
        <v>28.3</v>
      </c>
      <c r="G238" s="80">
        <v>0.91</v>
      </c>
      <c r="H238">
        <f t="shared" si="7"/>
        <v>91</v>
      </c>
      <c r="J238" s="249">
        <v>26.6</v>
      </c>
      <c r="K238" s="249">
        <v>0.76300000000000001</v>
      </c>
      <c r="L238">
        <f t="shared" si="8"/>
        <v>76.3</v>
      </c>
    </row>
    <row r="239" spans="2:12" x14ac:dyDescent="0.2">
      <c r="B239" s="80">
        <v>23.7</v>
      </c>
      <c r="C239" s="80">
        <v>0.88200000000000001</v>
      </c>
      <c r="D239">
        <f t="shared" si="6"/>
        <v>88.2</v>
      </c>
      <c r="F239" s="80">
        <v>28.7</v>
      </c>
      <c r="G239" s="80">
        <v>0.91</v>
      </c>
      <c r="H239">
        <f t="shared" si="7"/>
        <v>91</v>
      </c>
      <c r="J239" s="249">
        <v>27.2</v>
      </c>
      <c r="K239" s="249">
        <v>0.76300000000000001</v>
      </c>
      <c r="L239">
        <f t="shared" si="8"/>
        <v>76.3</v>
      </c>
    </row>
    <row r="240" spans="2:12" x14ac:dyDescent="0.2">
      <c r="B240" s="80">
        <v>24.4</v>
      </c>
      <c r="C240" s="80">
        <v>0.88900000000000001</v>
      </c>
      <c r="D240">
        <f t="shared" si="6"/>
        <v>88.9</v>
      </c>
      <c r="F240" s="80">
        <v>29</v>
      </c>
      <c r="G240" s="80">
        <v>0.91</v>
      </c>
      <c r="H240">
        <f t="shared" si="7"/>
        <v>91</v>
      </c>
      <c r="J240" s="249">
        <v>27.8</v>
      </c>
      <c r="K240" s="249">
        <v>0.76300000000000001</v>
      </c>
      <c r="L240">
        <f t="shared" si="8"/>
        <v>76.3</v>
      </c>
    </row>
    <row r="241" spans="2:13" x14ac:dyDescent="0.2">
      <c r="B241" s="80">
        <v>25.2</v>
      </c>
      <c r="C241" s="80">
        <v>0.88900000000000001</v>
      </c>
      <c r="D241">
        <f t="shared" si="6"/>
        <v>88.9</v>
      </c>
      <c r="F241" s="80">
        <v>29.1</v>
      </c>
      <c r="G241" s="80">
        <v>0.91</v>
      </c>
      <c r="H241">
        <f t="shared" si="7"/>
        <v>91</v>
      </c>
      <c r="J241" s="249">
        <v>28.2</v>
      </c>
      <c r="K241" s="249">
        <v>0.76700000000000002</v>
      </c>
      <c r="L241">
        <f t="shared" si="8"/>
        <v>76.7</v>
      </c>
    </row>
    <row r="242" spans="2:13" x14ac:dyDescent="0.2">
      <c r="B242" s="80">
        <v>26.3</v>
      </c>
      <c r="C242" s="80">
        <v>0.88600000000000001</v>
      </c>
      <c r="D242">
        <f t="shared" si="6"/>
        <v>88.6</v>
      </c>
      <c r="F242" s="80">
        <v>29.5</v>
      </c>
      <c r="G242" s="80">
        <v>0.90600000000000003</v>
      </c>
      <c r="H242">
        <f t="shared" si="7"/>
        <v>90.600000000000009</v>
      </c>
      <c r="J242" s="249">
        <v>28.7</v>
      </c>
      <c r="K242" s="249">
        <v>0.76700000000000002</v>
      </c>
      <c r="L242">
        <f t="shared" si="8"/>
        <v>76.7</v>
      </c>
    </row>
    <row r="243" spans="2:13" x14ac:dyDescent="0.2">
      <c r="B243" s="80">
        <v>27.2</v>
      </c>
      <c r="C243" s="80">
        <v>0.89600000000000002</v>
      </c>
      <c r="D243">
        <f t="shared" si="6"/>
        <v>89.600000000000009</v>
      </c>
      <c r="F243" s="80">
        <v>29.9</v>
      </c>
      <c r="G243" s="80">
        <v>0.90600000000000003</v>
      </c>
      <c r="H243">
        <f t="shared" si="7"/>
        <v>90.600000000000009</v>
      </c>
      <c r="J243" s="249">
        <v>28.9</v>
      </c>
      <c r="K243" s="249">
        <v>0.76700000000000002</v>
      </c>
      <c r="L243">
        <f t="shared" si="8"/>
        <v>76.7</v>
      </c>
    </row>
    <row r="244" spans="2:13" x14ac:dyDescent="0.2">
      <c r="B244" s="80">
        <v>28.6</v>
      </c>
      <c r="C244" s="80">
        <v>0.88900000000000001</v>
      </c>
      <c r="D244">
        <f t="shared" si="6"/>
        <v>88.9</v>
      </c>
      <c r="F244" s="80">
        <v>30.3</v>
      </c>
      <c r="G244" s="80">
        <v>0.90500000000000003</v>
      </c>
      <c r="H244">
        <f t="shared" si="7"/>
        <v>90.5</v>
      </c>
      <c r="J244" s="249">
        <v>29.4</v>
      </c>
      <c r="K244" s="249">
        <v>0.76700000000000002</v>
      </c>
      <c r="L244">
        <f t="shared" si="8"/>
        <v>76.7</v>
      </c>
    </row>
    <row r="245" spans="2:13" x14ac:dyDescent="0.2">
      <c r="B245" s="80">
        <v>29.4</v>
      </c>
      <c r="C245" s="80">
        <v>0.89600000000000002</v>
      </c>
      <c r="D245">
        <f t="shared" si="6"/>
        <v>89.600000000000009</v>
      </c>
      <c r="F245" s="80">
        <v>30.5</v>
      </c>
      <c r="G245" s="80">
        <v>0.90500000000000003</v>
      </c>
      <c r="H245">
        <f t="shared" si="7"/>
        <v>90.5</v>
      </c>
      <c r="J245" s="249">
        <v>29.9</v>
      </c>
      <c r="K245" s="249">
        <v>0.77100000000000002</v>
      </c>
      <c r="L245">
        <f t="shared" si="8"/>
        <v>77.100000000000009</v>
      </c>
    </row>
    <row r="246" spans="2:13" x14ac:dyDescent="0.2">
      <c r="B246" s="80">
        <v>30.3</v>
      </c>
      <c r="C246" s="80">
        <v>0.89600000000000002</v>
      </c>
      <c r="D246">
        <f t="shared" si="6"/>
        <v>89.600000000000009</v>
      </c>
      <c r="F246" s="80">
        <v>30.8</v>
      </c>
      <c r="G246" s="80">
        <v>0.90500000000000003</v>
      </c>
      <c r="H246">
        <f t="shared" si="7"/>
        <v>90.5</v>
      </c>
      <c r="J246" s="249">
        <v>30.4</v>
      </c>
      <c r="K246" s="249">
        <v>0.77100000000000002</v>
      </c>
      <c r="L246">
        <f t="shared" si="8"/>
        <v>77.100000000000009</v>
      </c>
    </row>
    <row r="247" spans="2:13" x14ac:dyDescent="0.2">
      <c r="B247" s="80">
        <v>31.1</v>
      </c>
      <c r="C247" s="80">
        <v>0.89600000000000002</v>
      </c>
      <c r="D247">
        <f t="shared" si="6"/>
        <v>89.600000000000009</v>
      </c>
      <c r="F247" s="80">
        <v>31</v>
      </c>
      <c r="G247" s="80">
        <v>0.90500000000000003</v>
      </c>
      <c r="H247">
        <f t="shared" si="7"/>
        <v>90.5</v>
      </c>
      <c r="J247" s="249">
        <v>30.8</v>
      </c>
      <c r="K247" s="249">
        <v>0.77100000000000002</v>
      </c>
      <c r="L247">
        <f t="shared" si="8"/>
        <v>77.100000000000009</v>
      </c>
    </row>
    <row r="248" spans="2:13" x14ac:dyDescent="0.2">
      <c r="B248" s="80">
        <v>32</v>
      </c>
      <c r="C248" s="80">
        <v>0.9</v>
      </c>
      <c r="D248">
        <f t="shared" si="6"/>
        <v>90</v>
      </c>
      <c r="F248" s="80">
        <v>31.2</v>
      </c>
      <c r="G248" s="80">
        <v>0.91200000000000003</v>
      </c>
      <c r="H248">
        <f t="shared" si="7"/>
        <v>91.2</v>
      </c>
      <c r="J248" s="249">
        <v>31.1</v>
      </c>
      <c r="K248" s="249">
        <v>0.77100000000000002</v>
      </c>
      <c r="L248">
        <f t="shared" si="8"/>
        <v>77.100000000000009</v>
      </c>
    </row>
    <row r="249" spans="2:13" x14ac:dyDescent="0.2">
      <c r="B249" s="80"/>
      <c r="C249" s="80"/>
      <c r="F249" s="80">
        <v>31.4</v>
      </c>
      <c r="G249" s="80">
        <v>0.91200000000000003</v>
      </c>
      <c r="H249">
        <f t="shared" si="7"/>
        <v>91.2</v>
      </c>
      <c r="J249" s="249">
        <v>31.2</v>
      </c>
      <c r="K249" s="249">
        <v>0.77100000000000002</v>
      </c>
      <c r="L249">
        <f t="shared" si="8"/>
        <v>77.100000000000009</v>
      </c>
    </row>
    <row r="250" spans="2:13" x14ac:dyDescent="0.2">
      <c r="B250" s="80"/>
      <c r="C250" s="80"/>
      <c r="F250" s="80">
        <v>31.7</v>
      </c>
      <c r="G250" s="80">
        <v>0.91200000000000003</v>
      </c>
      <c r="H250">
        <f t="shared" si="7"/>
        <v>91.2</v>
      </c>
      <c r="J250" s="249">
        <v>31.5</v>
      </c>
      <c r="K250" s="249">
        <v>0.77100000000000002</v>
      </c>
      <c r="L250">
        <f t="shared" si="8"/>
        <v>77.100000000000009</v>
      </c>
    </row>
    <row r="251" spans="2:13" x14ac:dyDescent="0.2">
      <c r="B251" s="80"/>
      <c r="C251" s="80"/>
      <c r="J251" s="249">
        <v>32.1</v>
      </c>
      <c r="K251" s="249">
        <v>0.77400000000000002</v>
      </c>
      <c r="L251">
        <f t="shared" si="8"/>
        <v>77.400000000000006</v>
      </c>
    </row>
    <row r="252" spans="2:13" x14ac:dyDescent="0.2">
      <c r="B252" s="80"/>
      <c r="C252" s="80"/>
    </row>
    <row r="253" spans="2:13" x14ac:dyDescent="0.2">
      <c r="B253" t="s">
        <v>856</v>
      </c>
    </row>
    <row r="254" spans="2:13" x14ac:dyDescent="0.2">
      <c r="B254" t="s">
        <v>488</v>
      </c>
      <c r="C254" t="s">
        <v>854</v>
      </c>
      <c r="D254" t="s">
        <v>855</v>
      </c>
    </row>
    <row r="255" spans="2:13" x14ac:dyDescent="0.2">
      <c r="B255" t="s">
        <v>342</v>
      </c>
      <c r="C255" t="s">
        <v>414</v>
      </c>
      <c r="E255" t="s">
        <v>846</v>
      </c>
      <c r="F255" s="80" t="s">
        <v>342</v>
      </c>
      <c r="G255" s="80" t="s">
        <v>414</v>
      </c>
      <c r="H255" t="s">
        <v>855</v>
      </c>
      <c r="I255" t="s">
        <v>846</v>
      </c>
      <c r="J255" t="s">
        <v>342</v>
      </c>
      <c r="K255" t="s">
        <v>414</v>
      </c>
      <c r="L255" t="s">
        <v>855</v>
      </c>
      <c r="M255" t="s">
        <v>846</v>
      </c>
    </row>
    <row r="256" spans="2:13" x14ac:dyDescent="0.2">
      <c r="B256" s="80">
        <v>0.158</v>
      </c>
      <c r="C256" s="80">
        <v>1.0800000000000001E-2</v>
      </c>
      <c r="D256" s="156">
        <f>100*C256</f>
        <v>1.08</v>
      </c>
      <c r="E256" s="156">
        <f>60*B256</f>
        <v>9.48</v>
      </c>
      <c r="F256" s="80">
        <v>0.10299999999999999</v>
      </c>
      <c r="G256" s="80">
        <v>0</v>
      </c>
      <c r="H256" s="156">
        <f>100*G256</f>
        <v>0</v>
      </c>
      <c r="I256" s="156">
        <f>60*F256</f>
        <v>6.18</v>
      </c>
      <c r="J256" s="80">
        <v>0.10199999999999999</v>
      </c>
      <c r="K256" s="80">
        <v>3.5799999999999998E-3</v>
      </c>
      <c r="L256" s="156">
        <f>100*K256</f>
        <v>0.35799999999999998</v>
      </c>
      <c r="M256" s="156">
        <f>60*J256</f>
        <v>6.1199999999999992</v>
      </c>
    </row>
    <row r="257" spans="2:13" x14ac:dyDescent="0.2">
      <c r="B257" s="80">
        <v>0.21099999999999999</v>
      </c>
      <c r="C257" s="80">
        <v>2.8799999999999999E-2</v>
      </c>
      <c r="D257" s="156">
        <f t="shared" ref="D257:D320" si="9">100*C257</f>
        <v>2.88</v>
      </c>
      <c r="E257" s="156">
        <f t="shared" ref="E257:E320" si="10">60*B257</f>
        <v>12.66</v>
      </c>
      <c r="F257" s="80">
        <v>0.31</v>
      </c>
      <c r="G257" s="80">
        <v>7.1900000000000002E-3</v>
      </c>
      <c r="H257" s="156">
        <f t="shared" ref="H257:H320" si="11">100*G257</f>
        <v>0.71899999999999997</v>
      </c>
      <c r="I257" s="156">
        <f t="shared" ref="I257:I320" si="12">60*F257</f>
        <v>18.600000000000001</v>
      </c>
      <c r="J257" s="80">
        <v>0.19900000000000001</v>
      </c>
      <c r="K257" s="80">
        <v>8.5999999999999993E-2</v>
      </c>
      <c r="L257" s="156">
        <f t="shared" ref="L257:L276" si="13">100*K257</f>
        <v>8.6</v>
      </c>
      <c r="M257" s="156">
        <f t="shared" ref="M257:M276" si="14">60*J257</f>
        <v>11.940000000000001</v>
      </c>
    </row>
    <row r="258" spans="2:13" x14ac:dyDescent="0.2">
      <c r="B258" s="80">
        <v>0.317</v>
      </c>
      <c r="C258" s="80">
        <v>5.3999999999999999E-2</v>
      </c>
      <c r="D258" s="156">
        <f t="shared" si="9"/>
        <v>5.4</v>
      </c>
      <c r="E258" s="156">
        <f t="shared" si="10"/>
        <v>19.02</v>
      </c>
      <c r="F258" s="80">
        <v>0.46500000000000002</v>
      </c>
      <c r="G258" s="80">
        <v>1.44E-2</v>
      </c>
      <c r="H258" s="156">
        <f t="shared" si="11"/>
        <v>1.44</v>
      </c>
      <c r="I258" s="156">
        <f t="shared" si="12"/>
        <v>27.900000000000002</v>
      </c>
      <c r="J258" s="80">
        <v>3.4599999999999999E-2</v>
      </c>
      <c r="K258" s="80">
        <v>0.215</v>
      </c>
      <c r="L258" s="156">
        <f t="shared" si="13"/>
        <v>21.5</v>
      </c>
      <c r="M258" s="156">
        <f t="shared" si="14"/>
        <v>2.0760000000000001</v>
      </c>
    </row>
    <row r="259" spans="2:13" x14ac:dyDescent="0.2">
      <c r="B259" s="80">
        <v>0.42099999999999999</v>
      </c>
      <c r="C259" s="80">
        <v>7.1900000000000006E-2</v>
      </c>
      <c r="D259" s="156">
        <f t="shared" si="9"/>
        <v>7.19</v>
      </c>
      <c r="E259" s="156">
        <f t="shared" si="10"/>
        <v>25.259999999999998</v>
      </c>
      <c r="F259" s="80">
        <v>0.67100000000000004</v>
      </c>
      <c r="G259" s="80">
        <v>2.8799999999999999E-2</v>
      </c>
      <c r="H259" s="156">
        <f t="shared" si="11"/>
        <v>2.88</v>
      </c>
      <c r="I259" s="156">
        <f t="shared" si="12"/>
        <v>40.260000000000005</v>
      </c>
      <c r="J259" s="80">
        <v>0.23100000000000001</v>
      </c>
      <c r="K259" s="80">
        <v>0.35499999999999998</v>
      </c>
      <c r="L259" s="156">
        <f t="shared" si="13"/>
        <v>35.5</v>
      </c>
      <c r="M259" s="156">
        <f t="shared" si="14"/>
        <v>13.860000000000001</v>
      </c>
    </row>
    <row r="260" spans="2:13" x14ac:dyDescent="0.2">
      <c r="B260" s="80">
        <v>0.52700000000000002</v>
      </c>
      <c r="C260" s="80">
        <v>9.35E-2</v>
      </c>
      <c r="D260" s="156">
        <f t="shared" si="9"/>
        <v>9.35</v>
      </c>
      <c r="E260" s="156">
        <f t="shared" si="10"/>
        <v>31.62</v>
      </c>
      <c r="F260" s="80">
        <v>0.878</v>
      </c>
      <c r="G260" s="80">
        <v>4.3200000000000002E-2</v>
      </c>
      <c r="H260" s="156">
        <f t="shared" si="11"/>
        <v>4.32</v>
      </c>
      <c r="I260" s="156">
        <f t="shared" si="12"/>
        <v>52.68</v>
      </c>
      <c r="J260" s="80">
        <v>0.218</v>
      </c>
      <c r="K260" s="80">
        <v>0.52300000000000002</v>
      </c>
      <c r="L260" s="156">
        <f t="shared" si="13"/>
        <v>52.300000000000004</v>
      </c>
      <c r="M260" s="156">
        <f t="shared" si="14"/>
        <v>13.08</v>
      </c>
    </row>
    <row r="261" spans="2:13" x14ac:dyDescent="0.2">
      <c r="B261" s="80">
        <v>0.73499999999999999</v>
      </c>
      <c r="C261" s="80">
        <v>0.112</v>
      </c>
      <c r="D261" s="156">
        <f t="shared" si="9"/>
        <v>11.200000000000001</v>
      </c>
      <c r="E261" s="156">
        <f t="shared" si="10"/>
        <v>44.1</v>
      </c>
      <c r="F261" s="80">
        <v>1.03</v>
      </c>
      <c r="G261" s="80">
        <v>5.7599999999999998E-2</v>
      </c>
      <c r="H261" s="156">
        <f t="shared" si="11"/>
        <v>5.76</v>
      </c>
      <c r="I261" s="156">
        <f t="shared" si="12"/>
        <v>61.800000000000004</v>
      </c>
      <c r="J261" s="80">
        <v>1.04</v>
      </c>
      <c r="K261" s="80">
        <v>0.52300000000000002</v>
      </c>
      <c r="L261" s="156">
        <f t="shared" si="13"/>
        <v>52.300000000000004</v>
      </c>
      <c r="M261" s="156">
        <f t="shared" si="14"/>
        <v>62.400000000000006</v>
      </c>
    </row>
    <row r="262" spans="2:13" x14ac:dyDescent="0.2">
      <c r="B262" s="80">
        <v>0.78800000000000003</v>
      </c>
      <c r="C262" s="80">
        <v>0.126</v>
      </c>
      <c r="D262" s="156">
        <f t="shared" si="9"/>
        <v>12.6</v>
      </c>
      <c r="E262" s="156">
        <f t="shared" si="10"/>
        <v>47.28</v>
      </c>
      <c r="F262" s="80">
        <v>1.39</v>
      </c>
      <c r="G262" s="80">
        <v>8.6300000000000002E-2</v>
      </c>
      <c r="H262" s="156">
        <f t="shared" si="11"/>
        <v>8.6300000000000008</v>
      </c>
      <c r="I262" s="156">
        <f t="shared" si="12"/>
        <v>83.399999999999991</v>
      </c>
      <c r="J262" s="80">
        <v>1.77</v>
      </c>
      <c r="K262" s="80">
        <v>0.52700000000000002</v>
      </c>
      <c r="L262" s="156">
        <f t="shared" si="13"/>
        <v>52.7</v>
      </c>
      <c r="M262" s="156">
        <f t="shared" si="14"/>
        <v>106.2</v>
      </c>
    </row>
    <row r="263" spans="2:13" x14ac:dyDescent="0.2">
      <c r="B263" s="80">
        <v>0.89300000000000002</v>
      </c>
      <c r="C263" s="80">
        <v>0.13700000000000001</v>
      </c>
      <c r="D263" s="156">
        <f t="shared" si="9"/>
        <v>13.700000000000001</v>
      </c>
      <c r="E263" s="156">
        <f t="shared" si="10"/>
        <v>53.58</v>
      </c>
      <c r="F263" s="80">
        <v>1.5</v>
      </c>
      <c r="G263" s="80">
        <v>0.10100000000000001</v>
      </c>
      <c r="H263" s="156">
        <f t="shared" si="11"/>
        <v>10.100000000000001</v>
      </c>
      <c r="I263" s="156">
        <f t="shared" si="12"/>
        <v>90</v>
      </c>
      <c r="J263" s="80">
        <v>2.4900000000000002</v>
      </c>
      <c r="K263" s="80">
        <v>0.53800000000000003</v>
      </c>
      <c r="L263" s="156">
        <f t="shared" si="13"/>
        <v>53.800000000000004</v>
      </c>
      <c r="M263" s="156">
        <f t="shared" si="14"/>
        <v>149.4</v>
      </c>
    </row>
    <row r="264" spans="2:13" x14ac:dyDescent="0.2">
      <c r="B264" s="80">
        <v>0.94599999999999995</v>
      </c>
      <c r="C264" s="80">
        <v>0.155</v>
      </c>
      <c r="D264" s="156">
        <f t="shared" si="9"/>
        <v>15.5</v>
      </c>
      <c r="E264" s="156">
        <f t="shared" si="10"/>
        <v>56.76</v>
      </c>
      <c r="F264" s="80">
        <v>1.55</v>
      </c>
      <c r="G264" s="80">
        <v>0.108</v>
      </c>
      <c r="H264" s="156">
        <f t="shared" si="11"/>
        <v>10.8</v>
      </c>
      <c r="I264" s="156">
        <f t="shared" si="12"/>
        <v>93</v>
      </c>
      <c r="J264" s="80">
        <v>3.32</v>
      </c>
      <c r="K264" s="80">
        <v>0.53400000000000003</v>
      </c>
      <c r="L264" s="156">
        <f t="shared" si="13"/>
        <v>53.400000000000006</v>
      </c>
      <c r="M264" s="156">
        <f t="shared" si="14"/>
        <v>199.2</v>
      </c>
    </row>
    <row r="265" spans="2:13" x14ac:dyDescent="0.2">
      <c r="B265" s="80">
        <v>1.1000000000000001</v>
      </c>
      <c r="C265" s="80">
        <v>0.18</v>
      </c>
      <c r="D265" s="156">
        <f t="shared" si="9"/>
        <v>18</v>
      </c>
      <c r="E265" s="156">
        <f t="shared" si="10"/>
        <v>66</v>
      </c>
      <c r="F265" s="80">
        <v>1.65</v>
      </c>
      <c r="G265" s="80">
        <v>0.126</v>
      </c>
      <c r="H265" s="156">
        <f t="shared" si="11"/>
        <v>12.6</v>
      </c>
      <c r="I265" s="156">
        <f t="shared" si="12"/>
        <v>99</v>
      </c>
      <c r="J265" s="80">
        <v>4.09</v>
      </c>
      <c r="K265" s="80">
        <v>0.55200000000000005</v>
      </c>
      <c r="L265" s="156">
        <f t="shared" si="13"/>
        <v>55.2</v>
      </c>
      <c r="M265" s="156">
        <f t="shared" si="14"/>
        <v>245.39999999999998</v>
      </c>
    </row>
    <row r="266" spans="2:13" x14ac:dyDescent="0.2">
      <c r="B266" s="80">
        <v>1.26</v>
      </c>
      <c r="C266" s="80">
        <v>0.20499999999999999</v>
      </c>
      <c r="D266" s="156">
        <f t="shared" si="9"/>
        <v>20.5</v>
      </c>
      <c r="E266" s="156">
        <f t="shared" si="10"/>
        <v>75.599999999999994</v>
      </c>
      <c r="F266" s="80">
        <v>1.81</v>
      </c>
      <c r="G266" s="80">
        <v>0.14000000000000001</v>
      </c>
      <c r="H266" s="156">
        <f t="shared" si="11"/>
        <v>14.000000000000002</v>
      </c>
      <c r="I266" s="156">
        <f t="shared" si="12"/>
        <v>108.60000000000001</v>
      </c>
      <c r="J266" s="80">
        <v>4.8099999999999996</v>
      </c>
      <c r="K266" s="80">
        <v>0.55200000000000005</v>
      </c>
      <c r="L266" s="156">
        <f t="shared" si="13"/>
        <v>55.2</v>
      </c>
      <c r="M266" s="156">
        <f t="shared" si="14"/>
        <v>288.59999999999997</v>
      </c>
    </row>
    <row r="267" spans="2:13" x14ac:dyDescent="0.2">
      <c r="B267" s="80">
        <v>1.31</v>
      </c>
      <c r="C267" s="80">
        <v>0.22700000000000001</v>
      </c>
      <c r="D267" s="156">
        <f t="shared" si="9"/>
        <v>22.7</v>
      </c>
      <c r="E267" s="156">
        <f t="shared" si="10"/>
        <v>78.600000000000009</v>
      </c>
      <c r="F267" s="80">
        <v>1.96</v>
      </c>
      <c r="G267" s="80">
        <v>0.151</v>
      </c>
      <c r="H267" s="156">
        <f t="shared" si="11"/>
        <v>15.1</v>
      </c>
      <c r="I267" s="156">
        <f t="shared" si="12"/>
        <v>117.6</v>
      </c>
      <c r="J267" s="80">
        <v>5.17</v>
      </c>
      <c r="K267" s="80">
        <v>0.627</v>
      </c>
      <c r="L267" s="156">
        <f t="shared" si="13"/>
        <v>62.7</v>
      </c>
      <c r="M267" s="156">
        <f t="shared" si="14"/>
        <v>310.2</v>
      </c>
    </row>
    <row r="268" spans="2:13" x14ac:dyDescent="0.2">
      <c r="B268" s="80">
        <v>1.42</v>
      </c>
      <c r="C268" s="80">
        <v>0.252</v>
      </c>
      <c r="D268" s="156">
        <f t="shared" si="9"/>
        <v>25.2</v>
      </c>
      <c r="E268" s="156">
        <f t="shared" si="10"/>
        <v>85.199999999999989</v>
      </c>
      <c r="F268" s="80">
        <v>2.17</v>
      </c>
      <c r="G268" s="80">
        <v>0.158</v>
      </c>
      <c r="H268" s="156">
        <f t="shared" si="11"/>
        <v>15.8</v>
      </c>
      <c r="I268" s="156">
        <f t="shared" si="12"/>
        <v>130.19999999999999</v>
      </c>
      <c r="J268" s="80">
        <v>5.26</v>
      </c>
      <c r="K268" s="80">
        <v>0.76</v>
      </c>
      <c r="L268" s="156">
        <f t="shared" si="13"/>
        <v>76</v>
      </c>
      <c r="M268" s="156">
        <f t="shared" si="14"/>
        <v>315.59999999999997</v>
      </c>
    </row>
    <row r="269" spans="2:13" x14ac:dyDescent="0.2">
      <c r="B269" s="80">
        <v>1.58</v>
      </c>
      <c r="C269" s="80">
        <v>0.27300000000000002</v>
      </c>
      <c r="D269" s="156">
        <f t="shared" si="9"/>
        <v>27.3</v>
      </c>
      <c r="E269" s="156">
        <f t="shared" si="10"/>
        <v>94.800000000000011</v>
      </c>
      <c r="F269" s="80">
        <v>2.3199999999999998</v>
      </c>
      <c r="G269" s="80">
        <v>0.16900000000000001</v>
      </c>
      <c r="H269" s="156">
        <f t="shared" si="11"/>
        <v>16.900000000000002</v>
      </c>
      <c r="I269" s="156">
        <f t="shared" si="12"/>
        <v>139.19999999999999</v>
      </c>
      <c r="J269" s="80">
        <v>5.14</v>
      </c>
      <c r="K269" s="80">
        <v>0.92800000000000005</v>
      </c>
      <c r="L269" s="156">
        <f t="shared" si="13"/>
        <v>92.800000000000011</v>
      </c>
      <c r="M269" s="156">
        <f t="shared" si="14"/>
        <v>308.39999999999998</v>
      </c>
    </row>
    <row r="270" spans="2:13" x14ac:dyDescent="0.2">
      <c r="B270" s="80">
        <v>1.63</v>
      </c>
      <c r="C270" s="80">
        <v>0.28799999999999998</v>
      </c>
      <c r="D270" s="156">
        <f t="shared" si="9"/>
        <v>28.799999999999997</v>
      </c>
      <c r="E270" s="156">
        <f t="shared" si="10"/>
        <v>97.8</v>
      </c>
      <c r="F270" s="80">
        <v>2.37</v>
      </c>
      <c r="G270" s="80">
        <v>0.183</v>
      </c>
      <c r="H270" s="156">
        <f t="shared" si="11"/>
        <v>18.3</v>
      </c>
      <c r="I270" s="156">
        <f t="shared" si="12"/>
        <v>142.20000000000002</v>
      </c>
      <c r="J270" s="80">
        <v>5.24</v>
      </c>
      <c r="K270" s="80">
        <v>1.01</v>
      </c>
      <c r="L270" s="156">
        <f t="shared" si="13"/>
        <v>101</v>
      </c>
      <c r="M270" s="156">
        <f t="shared" si="14"/>
        <v>314.40000000000003</v>
      </c>
    </row>
    <row r="271" spans="2:13" x14ac:dyDescent="0.2">
      <c r="B271" s="80">
        <v>1.79</v>
      </c>
      <c r="C271" s="80">
        <v>0.30599999999999999</v>
      </c>
      <c r="D271" s="156">
        <f t="shared" si="9"/>
        <v>30.599999999999998</v>
      </c>
      <c r="E271" s="156">
        <f t="shared" si="10"/>
        <v>107.4</v>
      </c>
      <c r="F271" s="80">
        <v>2.5299999999999998</v>
      </c>
      <c r="G271" s="80">
        <v>0.19400000000000001</v>
      </c>
      <c r="H271" s="156">
        <f t="shared" si="11"/>
        <v>19.400000000000002</v>
      </c>
      <c r="I271" s="156">
        <f t="shared" si="12"/>
        <v>151.79999999999998</v>
      </c>
      <c r="J271" s="80">
        <v>5.19</v>
      </c>
      <c r="K271" s="80">
        <v>1.06</v>
      </c>
      <c r="L271" s="156">
        <f t="shared" si="13"/>
        <v>106</v>
      </c>
      <c r="M271" s="156">
        <f t="shared" si="14"/>
        <v>311.40000000000003</v>
      </c>
    </row>
    <row r="272" spans="2:13" x14ac:dyDescent="0.2">
      <c r="B272" s="80">
        <v>1.79</v>
      </c>
      <c r="C272" s="80">
        <v>0.32700000000000001</v>
      </c>
      <c r="D272" s="156">
        <f t="shared" si="9"/>
        <v>32.700000000000003</v>
      </c>
      <c r="E272" s="156">
        <f t="shared" si="10"/>
        <v>107.4</v>
      </c>
      <c r="F272" s="80">
        <v>2.68</v>
      </c>
      <c r="G272" s="80">
        <v>0.20499999999999999</v>
      </c>
      <c r="H272" s="156">
        <f t="shared" si="11"/>
        <v>20.5</v>
      </c>
      <c r="I272" s="156">
        <f t="shared" si="12"/>
        <v>160.80000000000001</v>
      </c>
      <c r="J272" s="80">
        <v>5.34</v>
      </c>
      <c r="K272" s="80">
        <v>1.07</v>
      </c>
      <c r="L272" s="156">
        <f t="shared" si="13"/>
        <v>107</v>
      </c>
      <c r="M272" s="156">
        <f t="shared" si="14"/>
        <v>320.39999999999998</v>
      </c>
    </row>
    <row r="273" spans="2:13" x14ac:dyDescent="0.2">
      <c r="B273" s="80">
        <v>1.89</v>
      </c>
      <c r="C273" s="80">
        <v>0.35299999999999998</v>
      </c>
      <c r="D273" s="156">
        <f t="shared" si="9"/>
        <v>35.299999999999997</v>
      </c>
      <c r="E273" s="156">
        <f t="shared" si="10"/>
        <v>113.39999999999999</v>
      </c>
      <c r="F273" s="80">
        <v>2.79</v>
      </c>
      <c r="G273" s="80">
        <v>0.219</v>
      </c>
      <c r="H273" s="156">
        <f t="shared" si="11"/>
        <v>21.9</v>
      </c>
      <c r="I273" s="156">
        <f t="shared" si="12"/>
        <v>167.4</v>
      </c>
      <c r="J273" s="80">
        <v>5.55</v>
      </c>
      <c r="K273" s="80">
        <v>1.08</v>
      </c>
      <c r="L273" s="156">
        <f t="shared" si="13"/>
        <v>108</v>
      </c>
      <c r="M273" s="156">
        <f t="shared" si="14"/>
        <v>333</v>
      </c>
    </row>
    <row r="274" spans="2:13" x14ac:dyDescent="0.2">
      <c r="B274" s="80">
        <v>2</v>
      </c>
      <c r="C274" s="80">
        <v>0.374</v>
      </c>
      <c r="D274" s="156">
        <f t="shared" si="9"/>
        <v>37.4</v>
      </c>
      <c r="E274" s="156">
        <f t="shared" si="10"/>
        <v>120</v>
      </c>
      <c r="F274" s="80">
        <v>2.99</v>
      </c>
      <c r="G274" s="80">
        <v>0.23</v>
      </c>
      <c r="H274" s="156">
        <f t="shared" si="11"/>
        <v>23</v>
      </c>
      <c r="I274" s="156">
        <f t="shared" si="12"/>
        <v>179.4</v>
      </c>
      <c r="J274" s="80">
        <v>5.65</v>
      </c>
      <c r="K274" s="80">
        <v>1.08</v>
      </c>
      <c r="L274" s="156">
        <f t="shared" si="13"/>
        <v>108</v>
      </c>
      <c r="M274" s="156">
        <f t="shared" si="14"/>
        <v>339</v>
      </c>
    </row>
    <row r="275" spans="2:13" x14ac:dyDescent="0.2">
      <c r="B275" s="80">
        <v>2.1</v>
      </c>
      <c r="C275" s="80">
        <v>0.39600000000000002</v>
      </c>
      <c r="D275" s="156">
        <f t="shared" si="9"/>
        <v>39.6</v>
      </c>
      <c r="E275" s="156">
        <f t="shared" si="10"/>
        <v>126</v>
      </c>
      <c r="F275" s="80">
        <v>3.15</v>
      </c>
      <c r="G275" s="80">
        <v>0.255</v>
      </c>
      <c r="H275" s="156">
        <f t="shared" si="11"/>
        <v>25.5</v>
      </c>
      <c r="I275" s="156">
        <f t="shared" si="12"/>
        <v>189</v>
      </c>
      <c r="J275" s="80">
        <v>5.75</v>
      </c>
      <c r="K275" s="80">
        <v>1.08</v>
      </c>
      <c r="L275" s="156">
        <f t="shared" si="13"/>
        <v>108</v>
      </c>
      <c r="M275" s="156">
        <f t="shared" si="14"/>
        <v>345</v>
      </c>
    </row>
    <row r="276" spans="2:13" x14ac:dyDescent="0.2">
      <c r="B276" s="80">
        <v>2.21</v>
      </c>
      <c r="C276" s="80">
        <v>0.41399999999999998</v>
      </c>
      <c r="D276" s="156">
        <f t="shared" si="9"/>
        <v>41.4</v>
      </c>
      <c r="E276" s="156">
        <f t="shared" si="10"/>
        <v>132.6</v>
      </c>
      <c r="F276" s="80">
        <v>3.41</v>
      </c>
      <c r="G276" s="80">
        <v>0.27</v>
      </c>
      <c r="H276" s="156">
        <f t="shared" si="11"/>
        <v>27</v>
      </c>
      <c r="I276" s="156">
        <f t="shared" si="12"/>
        <v>204.60000000000002</v>
      </c>
      <c r="J276" s="80">
        <v>6.17</v>
      </c>
      <c r="K276" s="80">
        <v>1.08</v>
      </c>
      <c r="L276" s="156">
        <f t="shared" si="13"/>
        <v>108</v>
      </c>
      <c r="M276" s="156">
        <f t="shared" si="14"/>
        <v>370.2</v>
      </c>
    </row>
    <row r="277" spans="2:13" x14ac:dyDescent="0.2">
      <c r="B277" s="80">
        <v>2.42</v>
      </c>
      <c r="C277" s="80">
        <v>0.432</v>
      </c>
      <c r="D277" s="156">
        <f t="shared" si="9"/>
        <v>43.2</v>
      </c>
      <c r="E277" s="156">
        <f t="shared" si="10"/>
        <v>145.19999999999999</v>
      </c>
      <c r="F277" s="80">
        <v>3.56</v>
      </c>
      <c r="G277" s="80">
        <v>0.28399999999999997</v>
      </c>
      <c r="H277" s="156">
        <f t="shared" si="11"/>
        <v>28.4</v>
      </c>
      <c r="I277" s="156">
        <f t="shared" si="12"/>
        <v>213.6</v>
      </c>
    </row>
    <row r="278" spans="2:13" x14ac:dyDescent="0.2">
      <c r="B278" s="80">
        <v>2.52</v>
      </c>
      <c r="C278" s="80">
        <v>0.47099999999999997</v>
      </c>
      <c r="D278" s="156">
        <f t="shared" si="9"/>
        <v>47.099999999999994</v>
      </c>
      <c r="E278" s="156">
        <f t="shared" si="10"/>
        <v>151.19999999999999</v>
      </c>
      <c r="F278" s="80">
        <v>3.72</v>
      </c>
      <c r="G278" s="80">
        <v>0.309</v>
      </c>
      <c r="H278" s="156">
        <f t="shared" si="11"/>
        <v>30.9</v>
      </c>
      <c r="I278" s="156">
        <f t="shared" si="12"/>
        <v>223.20000000000002</v>
      </c>
    </row>
    <row r="279" spans="2:13" x14ac:dyDescent="0.2">
      <c r="B279" s="80">
        <v>2.58</v>
      </c>
      <c r="C279" s="80">
        <v>0.496</v>
      </c>
      <c r="D279" s="156">
        <f t="shared" si="9"/>
        <v>49.6</v>
      </c>
      <c r="E279" s="156">
        <f t="shared" si="10"/>
        <v>154.80000000000001</v>
      </c>
      <c r="F279" s="80">
        <v>3.92</v>
      </c>
      <c r="G279" s="80">
        <v>0.32700000000000001</v>
      </c>
      <c r="H279" s="156">
        <f t="shared" si="11"/>
        <v>32.700000000000003</v>
      </c>
      <c r="I279" s="156">
        <f t="shared" si="12"/>
        <v>235.2</v>
      </c>
    </row>
    <row r="280" spans="2:13" x14ac:dyDescent="0.2">
      <c r="B280" s="80">
        <v>2.68</v>
      </c>
      <c r="C280" s="80">
        <v>0.51800000000000002</v>
      </c>
      <c r="D280" s="156">
        <f t="shared" si="9"/>
        <v>51.800000000000004</v>
      </c>
      <c r="E280" s="156">
        <f t="shared" si="10"/>
        <v>160.80000000000001</v>
      </c>
      <c r="F280" s="80">
        <v>4.08</v>
      </c>
      <c r="G280" s="80">
        <v>0.34200000000000003</v>
      </c>
      <c r="H280" s="156">
        <f t="shared" si="11"/>
        <v>34.200000000000003</v>
      </c>
      <c r="I280" s="156">
        <f t="shared" si="12"/>
        <v>244.8</v>
      </c>
    </row>
    <row r="281" spans="2:13" x14ac:dyDescent="0.2">
      <c r="B281" s="80">
        <v>2.84</v>
      </c>
      <c r="C281" s="80">
        <v>0.53600000000000003</v>
      </c>
      <c r="D281" s="156">
        <f t="shared" si="9"/>
        <v>53.6</v>
      </c>
      <c r="E281" s="156">
        <f t="shared" si="10"/>
        <v>170.39999999999998</v>
      </c>
      <c r="F281" s="80">
        <v>4.34</v>
      </c>
      <c r="G281" s="80">
        <v>0.35599999999999998</v>
      </c>
      <c r="H281" s="156">
        <f t="shared" si="11"/>
        <v>35.6</v>
      </c>
      <c r="I281" s="156">
        <f t="shared" si="12"/>
        <v>260.39999999999998</v>
      </c>
    </row>
    <row r="282" spans="2:13" x14ac:dyDescent="0.2">
      <c r="B282" s="80">
        <v>3</v>
      </c>
      <c r="C282" s="80">
        <v>0.55000000000000004</v>
      </c>
      <c r="D282" s="156">
        <f t="shared" si="9"/>
        <v>55.000000000000007</v>
      </c>
      <c r="E282" s="156">
        <f t="shared" si="10"/>
        <v>180</v>
      </c>
      <c r="F282" s="80">
        <v>4.54</v>
      </c>
      <c r="G282" s="80">
        <v>0.36699999999999999</v>
      </c>
      <c r="H282" s="156">
        <f t="shared" si="11"/>
        <v>36.700000000000003</v>
      </c>
      <c r="I282" s="156">
        <f t="shared" si="12"/>
        <v>272.39999999999998</v>
      </c>
    </row>
    <row r="283" spans="2:13" x14ac:dyDescent="0.2">
      <c r="B283" s="80">
        <v>3.05</v>
      </c>
      <c r="C283" s="80">
        <v>0.56799999999999995</v>
      </c>
      <c r="D283" s="156">
        <f t="shared" si="9"/>
        <v>56.8</v>
      </c>
      <c r="E283" s="156">
        <f t="shared" si="10"/>
        <v>183</v>
      </c>
      <c r="F283" s="80">
        <v>4.6500000000000004</v>
      </c>
      <c r="G283" s="80">
        <v>0.374</v>
      </c>
      <c r="H283" s="156">
        <f t="shared" si="11"/>
        <v>37.4</v>
      </c>
      <c r="I283" s="156">
        <f t="shared" si="12"/>
        <v>279</v>
      </c>
    </row>
    <row r="284" spans="2:13" x14ac:dyDescent="0.2">
      <c r="B284" s="80">
        <v>3.15</v>
      </c>
      <c r="C284" s="80">
        <v>0.58599999999999997</v>
      </c>
      <c r="D284" s="156">
        <f t="shared" si="9"/>
        <v>58.599999999999994</v>
      </c>
      <c r="E284" s="156">
        <f t="shared" si="10"/>
        <v>189</v>
      </c>
      <c r="F284" s="80">
        <v>4.8</v>
      </c>
      <c r="G284" s="80">
        <v>0.38800000000000001</v>
      </c>
      <c r="H284" s="156">
        <f t="shared" si="11"/>
        <v>38.800000000000004</v>
      </c>
      <c r="I284" s="156">
        <f t="shared" si="12"/>
        <v>288</v>
      </c>
    </row>
    <row r="285" spans="2:13" x14ac:dyDescent="0.2">
      <c r="B285" s="80">
        <v>3.15</v>
      </c>
      <c r="C285" s="80">
        <v>0.59699999999999998</v>
      </c>
      <c r="D285" s="156">
        <f t="shared" si="9"/>
        <v>59.699999999999996</v>
      </c>
      <c r="E285" s="156">
        <f t="shared" si="10"/>
        <v>189</v>
      </c>
      <c r="F285" s="80">
        <v>5.1100000000000003</v>
      </c>
      <c r="G285" s="80">
        <v>0.41</v>
      </c>
      <c r="H285" s="156">
        <f t="shared" si="11"/>
        <v>41</v>
      </c>
      <c r="I285" s="156">
        <f t="shared" si="12"/>
        <v>306.60000000000002</v>
      </c>
    </row>
    <row r="286" spans="2:13" x14ac:dyDescent="0.2">
      <c r="B286" s="80">
        <v>3.21</v>
      </c>
      <c r="C286" s="80">
        <v>0.61199999999999999</v>
      </c>
      <c r="D286" s="156">
        <f t="shared" si="9"/>
        <v>61.199999999999996</v>
      </c>
      <c r="E286" s="156">
        <f t="shared" si="10"/>
        <v>192.6</v>
      </c>
      <c r="F286" s="80">
        <v>5.21</v>
      </c>
      <c r="G286" s="80">
        <v>0.42399999999999999</v>
      </c>
      <c r="H286" s="156">
        <f t="shared" si="11"/>
        <v>42.4</v>
      </c>
      <c r="I286" s="156">
        <f t="shared" si="12"/>
        <v>312.60000000000002</v>
      </c>
    </row>
    <row r="287" spans="2:13" x14ac:dyDescent="0.2">
      <c r="B287" s="80">
        <v>3.26</v>
      </c>
      <c r="C287" s="80">
        <v>0.629</v>
      </c>
      <c r="D287" s="156">
        <f t="shared" si="9"/>
        <v>62.9</v>
      </c>
      <c r="E287" s="156">
        <f t="shared" si="10"/>
        <v>195.6</v>
      </c>
      <c r="F287" s="80">
        <v>5.78</v>
      </c>
      <c r="G287" s="80">
        <v>0.45700000000000002</v>
      </c>
      <c r="H287" s="156">
        <f t="shared" si="11"/>
        <v>45.7</v>
      </c>
      <c r="I287" s="156">
        <f t="shared" si="12"/>
        <v>346.8</v>
      </c>
    </row>
    <row r="288" spans="2:13" x14ac:dyDescent="0.2">
      <c r="B288" s="80">
        <v>3.37</v>
      </c>
      <c r="C288" s="80">
        <v>0.65800000000000003</v>
      </c>
      <c r="D288" s="156">
        <f t="shared" si="9"/>
        <v>65.8</v>
      </c>
      <c r="E288" s="156">
        <f t="shared" si="10"/>
        <v>202.20000000000002</v>
      </c>
      <c r="F288" s="80">
        <v>5.78</v>
      </c>
      <c r="G288" s="80">
        <v>0.48199999999999998</v>
      </c>
      <c r="H288" s="156">
        <f t="shared" si="11"/>
        <v>48.199999999999996</v>
      </c>
      <c r="I288" s="156">
        <f t="shared" si="12"/>
        <v>346.8</v>
      </c>
    </row>
    <row r="289" spans="2:9" x14ac:dyDescent="0.2">
      <c r="B289" s="80">
        <v>3.47</v>
      </c>
      <c r="C289" s="80">
        <v>0.67300000000000004</v>
      </c>
      <c r="D289" s="156">
        <f t="shared" si="9"/>
        <v>67.300000000000011</v>
      </c>
      <c r="E289" s="156">
        <f t="shared" si="10"/>
        <v>208.20000000000002</v>
      </c>
      <c r="F289" s="80">
        <v>5.94</v>
      </c>
      <c r="G289" s="80">
        <v>0.51100000000000001</v>
      </c>
      <c r="H289" s="156">
        <f t="shared" si="11"/>
        <v>51.1</v>
      </c>
      <c r="I289" s="156">
        <f t="shared" si="12"/>
        <v>356.40000000000003</v>
      </c>
    </row>
    <row r="290" spans="2:9" x14ac:dyDescent="0.2">
      <c r="B290" s="80">
        <v>3.63</v>
      </c>
      <c r="C290" s="80">
        <v>0.68300000000000005</v>
      </c>
      <c r="D290" s="156">
        <f t="shared" si="9"/>
        <v>68.300000000000011</v>
      </c>
      <c r="E290" s="156">
        <f t="shared" si="10"/>
        <v>217.79999999999998</v>
      </c>
      <c r="F290" s="80">
        <v>6.09</v>
      </c>
      <c r="G290" s="80">
        <v>0.51800000000000002</v>
      </c>
      <c r="H290" s="156">
        <f t="shared" si="11"/>
        <v>51.800000000000004</v>
      </c>
      <c r="I290" s="156">
        <f t="shared" si="12"/>
        <v>365.4</v>
      </c>
    </row>
    <row r="291" spans="2:9" x14ac:dyDescent="0.2">
      <c r="B291" s="80">
        <v>3.78</v>
      </c>
      <c r="C291" s="80">
        <v>0.70899999999999996</v>
      </c>
      <c r="D291" s="156">
        <f t="shared" si="9"/>
        <v>70.899999999999991</v>
      </c>
      <c r="E291" s="156">
        <f t="shared" si="10"/>
        <v>226.79999999999998</v>
      </c>
      <c r="F291" s="80">
        <v>6.3</v>
      </c>
      <c r="G291" s="80">
        <v>0.54</v>
      </c>
      <c r="H291" s="156">
        <f t="shared" si="11"/>
        <v>54</v>
      </c>
      <c r="I291" s="156">
        <f t="shared" si="12"/>
        <v>378</v>
      </c>
    </row>
    <row r="292" spans="2:9" x14ac:dyDescent="0.2">
      <c r="B292" s="80">
        <v>3.79</v>
      </c>
      <c r="C292" s="80">
        <v>0.73399999999999999</v>
      </c>
      <c r="D292" s="156">
        <f t="shared" si="9"/>
        <v>73.400000000000006</v>
      </c>
      <c r="E292" s="156">
        <f t="shared" si="10"/>
        <v>227.4</v>
      </c>
      <c r="F292" s="80">
        <v>6.55</v>
      </c>
      <c r="G292" s="80">
        <v>0.54700000000000004</v>
      </c>
      <c r="H292" s="156">
        <f t="shared" si="11"/>
        <v>54.7</v>
      </c>
      <c r="I292" s="156">
        <f t="shared" si="12"/>
        <v>393</v>
      </c>
    </row>
    <row r="293" spans="2:9" x14ac:dyDescent="0.2">
      <c r="B293" s="80">
        <v>3.94</v>
      </c>
      <c r="C293" s="80">
        <v>0.745</v>
      </c>
      <c r="D293" s="156">
        <f t="shared" si="9"/>
        <v>74.5</v>
      </c>
      <c r="E293" s="156">
        <f t="shared" si="10"/>
        <v>236.4</v>
      </c>
      <c r="F293" s="80">
        <v>6.66</v>
      </c>
      <c r="G293" s="80">
        <v>0.55800000000000005</v>
      </c>
      <c r="H293" s="156">
        <f t="shared" si="11"/>
        <v>55.800000000000004</v>
      </c>
      <c r="I293" s="156">
        <f t="shared" si="12"/>
        <v>399.6</v>
      </c>
    </row>
    <row r="294" spans="2:9" x14ac:dyDescent="0.2">
      <c r="B294" s="80">
        <v>3.94</v>
      </c>
      <c r="C294" s="80">
        <v>0.755</v>
      </c>
      <c r="D294" s="156">
        <f t="shared" si="9"/>
        <v>75.5</v>
      </c>
      <c r="E294" s="156">
        <f t="shared" si="10"/>
        <v>236.4</v>
      </c>
      <c r="F294" s="80">
        <v>6.86</v>
      </c>
      <c r="G294" s="80">
        <v>0.56799999999999995</v>
      </c>
      <c r="H294" s="156">
        <f t="shared" si="11"/>
        <v>56.8</v>
      </c>
      <c r="I294" s="156">
        <f t="shared" si="12"/>
        <v>411.6</v>
      </c>
    </row>
    <row r="295" spans="2:9" x14ac:dyDescent="0.2">
      <c r="B295" s="80">
        <v>4.0999999999999996</v>
      </c>
      <c r="C295" s="80">
        <v>0.78400000000000003</v>
      </c>
      <c r="D295" s="156">
        <f t="shared" si="9"/>
        <v>78.400000000000006</v>
      </c>
      <c r="E295" s="156">
        <f t="shared" si="10"/>
        <v>245.99999999999997</v>
      </c>
      <c r="F295" s="80">
        <v>7.07</v>
      </c>
      <c r="G295" s="80">
        <v>0.58299999999999996</v>
      </c>
      <c r="H295" s="156">
        <f t="shared" si="11"/>
        <v>58.3</v>
      </c>
      <c r="I295" s="156">
        <f t="shared" si="12"/>
        <v>424.20000000000005</v>
      </c>
    </row>
    <row r="296" spans="2:9" x14ac:dyDescent="0.2">
      <c r="B296" s="80">
        <v>4.21</v>
      </c>
      <c r="C296" s="80">
        <v>0.79900000000000004</v>
      </c>
      <c r="D296" s="156">
        <f t="shared" si="9"/>
        <v>79.900000000000006</v>
      </c>
      <c r="E296" s="156">
        <f t="shared" si="10"/>
        <v>252.6</v>
      </c>
      <c r="F296" s="80">
        <v>7.28</v>
      </c>
      <c r="G296" s="80">
        <v>0.59699999999999998</v>
      </c>
      <c r="H296" s="156">
        <f t="shared" si="11"/>
        <v>59.699999999999996</v>
      </c>
      <c r="I296" s="156">
        <f t="shared" si="12"/>
        <v>436.8</v>
      </c>
    </row>
    <row r="297" spans="2:9" x14ac:dyDescent="0.2">
      <c r="B297" s="80">
        <v>4.26</v>
      </c>
      <c r="C297" s="80">
        <v>0.80600000000000005</v>
      </c>
      <c r="D297" s="156">
        <f t="shared" si="9"/>
        <v>80.600000000000009</v>
      </c>
      <c r="E297" s="156">
        <f t="shared" si="10"/>
        <v>255.6</v>
      </c>
      <c r="F297" s="80">
        <v>7.48</v>
      </c>
      <c r="G297" s="80">
        <v>0.60799999999999998</v>
      </c>
      <c r="H297" s="156">
        <f t="shared" si="11"/>
        <v>60.8</v>
      </c>
      <c r="I297" s="156">
        <f t="shared" si="12"/>
        <v>448.8</v>
      </c>
    </row>
    <row r="298" spans="2:9" x14ac:dyDescent="0.2">
      <c r="B298" s="80">
        <v>4.26</v>
      </c>
      <c r="C298" s="80">
        <v>0.81299999999999994</v>
      </c>
      <c r="D298" s="156">
        <f t="shared" si="9"/>
        <v>81.3</v>
      </c>
      <c r="E298" s="156">
        <f t="shared" si="10"/>
        <v>255.6</v>
      </c>
      <c r="F298" s="80">
        <v>7.48</v>
      </c>
      <c r="G298" s="80">
        <v>0.61899999999999999</v>
      </c>
      <c r="H298" s="156">
        <f t="shared" si="11"/>
        <v>61.9</v>
      </c>
      <c r="I298" s="156">
        <f t="shared" si="12"/>
        <v>448.8</v>
      </c>
    </row>
    <row r="299" spans="2:9" x14ac:dyDescent="0.2">
      <c r="B299" s="80">
        <v>4.3600000000000003</v>
      </c>
      <c r="C299" s="80">
        <v>0.82</v>
      </c>
      <c r="D299" s="156">
        <f t="shared" si="9"/>
        <v>82</v>
      </c>
      <c r="E299" s="156">
        <f t="shared" si="10"/>
        <v>261.60000000000002</v>
      </c>
      <c r="F299" s="80">
        <v>7.64</v>
      </c>
      <c r="G299" s="80">
        <v>0.629</v>
      </c>
      <c r="H299" s="156">
        <f t="shared" si="11"/>
        <v>62.9</v>
      </c>
      <c r="I299" s="156">
        <f t="shared" si="12"/>
        <v>458.4</v>
      </c>
    </row>
    <row r="300" spans="2:9" x14ac:dyDescent="0.2">
      <c r="B300" s="80">
        <v>4.57</v>
      </c>
      <c r="C300" s="80">
        <v>0.84499999999999997</v>
      </c>
      <c r="D300" s="156">
        <f t="shared" si="9"/>
        <v>84.5</v>
      </c>
      <c r="E300" s="156">
        <f t="shared" si="10"/>
        <v>274.20000000000005</v>
      </c>
      <c r="F300" s="80">
        <v>8.16</v>
      </c>
      <c r="G300" s="80">
        <v>0.65500000000000003</v>
      </c>
      <c r="H300" s="156">
        <f t="shared" si="11"/>
        <v>65.5</v>
      </c>
      <c r="I300" s="156">
        <f t="shared" si="12"/>
        <v>489.6</v>
      </c>
    </row>
    <row r="301" spans="2:9" x14ac:dyDescent="0.2">
      <c r="B301" s="80">
        <v>4.68</v>
      </c>
      <c r="C301" s="80">
        <v>0.85599999999999998</v>
      </c>
      <c r="D301" s="156">
        <f t="shared" si="9"/>
        <v>85.6</v>
      </c>
      <c r="E301" s="156">
        <f t="shared" si="10"/>
        <v>280.79999999999995</v>
      </c>
      <c r="F301" s="80">
        <v>8.16</v>
      </c>
      <c r="G301" s="80">
        <v>0.67600000000000005</v>
      </c>
      <c r="H301" s="156">
        <f t="shared" si="11"/>
        <v>67.600000000000009</v>
      </c>
      <c r="I301" s="156">
        <f t="shared" si="12"/>
        <v>489.6</v>
      </c>
    </row>
    <row r="302" spans="2:9" x14ac:dyDescent="0.2">
      <c r="B302" s="80">
        <v>4.78</v>
      </c>
      <c r="C302" s="80">
        <v>0.874</v>
      </c>
      <c r="D302" s="156">
        <f t="shared" si="9"/>
        <v>87.4</v>
      </c>
      <c r="E302" s="156">
        <f t="shared" si="10"/>
        <v>286.8</v>
      </c>
      <c r="F302" s="80">
        <v>8.31</v>
      </c>
      <c r="G302" s="80">
        <v>0.68700000000000006</v>
      </c>
      <c r="H302" s="156">
        <f t="shared" si="11"/>
        <v>68.7</v>
      </c>
      <c r="I302" s="156">
        <f t="shared" si="12"/>
        <v>498.6</v>
      </c>
    </row>
    <row r="303" spans="2:9" x14ac:dyDescent="0.2">
      <c r="B303" s="80">
        <v>4.83</v>
      </c>
      <c r="C303" s="80">
        <v>0.88500000000000001</v>
      </c>
      <c r="D303" s="156">
        <f t="shared" si="9"/>
        <v>88.5</v>
      </c>
      <c r="E303" s="156">
        <f t="shared" si="10"/>
        <v>289.8</v>
      </c>
      <c r="F303" s="80">
        <v>8.41</v>
      </c>
      <c r="G303" s="80">
        <v>0.70099999999999996</v>
      </c>
      <c r="H303" s="156">
        <f t="shared" si="11"/>
        <v>70.099999999999994</v>
      </c>
      <c r="I303" s="156">
        <f t="shared" si="12"/>
        <v>504.6</v>
      </c>
    </row>
    <row r="304" spans="2:9" x14ac:dyDescent="0.2">
      <c r="B304" s="80">
        <v>4.8899999999999997</v>
      </c>
      <c r="C304" s="80">
        <v>0.90300000000000002</v>
      </c>
      <c r="D304" s="156">
        <f t="shared" si="9"/>
        <v>90.3</v>
      </c>
      <c r="E304" s="156">
        <f t="shared" si="10"/>
        <v>293.39999999999998</v>
      </c>
      <c r="F304" s="80">
        <v>8.6199999999999992</v>
      </c>
      <c r="G304" s="80">
        <v>0.71199999999999997</v>
      </c>
      <c r="H304" s="156">
        <f t="shared" si="11"/>
        <v>71.2</v>
      </c>
      <c r="I304" s="156">
        <f t="shared" si="12"/>
        <v>517.19999999999993</v>
      </c>
    </row>
    <row r="305" spans="2:9" x14ac:dyDescent="0.2">
      <c r="B305" s="80">
        <v>4.9400000000000004</v>
      </c>
      <c r="C305" s="80">
        <v>0.91</v>
      </c>
      <c r="D305" s="156">
        <f t="shared" si="9"/>
        <v>91</v>
      </c>
      <c r="E305" s="156">
        <f t="shared" si="10"/>
        <v>296.40000000000003</v>
      </c>
      <c r="F305" s="80">
        <v>8.8800000000000008</v>
      </c>
      <c r="G305" s="80">
        <v>0.72699999999999998</v>
      </c>
      <c r="H305" s="156">
        <f t="shared" si="11"/>
        <v>72.7</v>
      </c>
      <c r="I305" s="156">
        <f t="shared" si="12"/>
        <v>532.80000000000007</v>
      </c>
    </row>
    <row r="306" spans="2:9" x14ac:dyDescent="0.2">
      <c r="B306" s="80">
        <v>5.05</v>
      </c>
      <c r="C306" s="80">
        <v>0.93200000000000005</v>
      </c>
      <c r="D306" s="156">
        <f t="shared" si="9"/>
        <v>93.2</v>
      </c>
      <c r="E306" s="156">
        <f t="shared" si="10"/>
        <v>303</v>
      </c>
      <c r="F306" s="80">
        <v>9.14</v>
      </c>
      <c r="G306" s="80">
        <v>0.752</v>
      </c>
      <c r="H306" s="156">
        <f t="shared" si="11"/>
        <v>75.2</v>
      </c>
      <c r="I306" s="156">
        <f t="shared" si="12"/>
        <v>548.40000000000009</v>
      </c>
    </row>
    <row r="307" spans="2:9" x14ac:dyDescent="0.2">
      <c r="B307" s="80">
        <v>5.05</v>
      </c>
      <c r="C307" s="80">
        <v>0.94199999999999995</v>
      </c>
      <c r="D307" s="156">
        <f t="shared" si="9"/>
        <v>94.199999999999989</v>
      </c>
      <c r="E307" s="156">
        <f t="shared" si="10"/>
        <v>303</v>
      </c>
      <c r="F307" s="80">
        <v>9.24</v>
      </c>
      <c r="G307" s="80">
        <v>0.77300000000000002</v>
      </c>
      <c r="H307" s="156">
        <f t="shared" si="11"/>
        <v>77.3</v>
      </c>
      <c r="I307" s="156">
        <f t="shared" si="12"/>
        <v>554.4</v>
      </c>
    </row>
    <row r="308" spans="2:9" x14ac:dyDescent="0.2">
      <c r="B308" s="80">
        <v>5.15</v>
      </c>
      <c r="C308" s="80">
        <v>0.95699999999999996</v>
      </c>
      <c r="D308" s="156">
        <f t="shared" si="9"/>
        <v>95.7</v>
      </c>
      <c r="E308" s="156">
        <f t="shared" si="10"/>
        <v>309</v>
      </c>
      <c r="F308" s="80">
        <v>9.6</v>
      </c>
      <c r="G308" s="80">
        <v>0.80200000000000005</v>
      </c>
      <c r="H308" s="156">
        <f t="shared" si="11"/>
        <v>80.2</v>
      </c>
      <c r="I308" s="156">
        <f t="shared" si="12"/>
        <v>576</v>
      </c>
    </row>
    <row r="309" spans="2:9" x14ac:dyDescent="0.2">
      <c r="B309" s="80">
        <v>5.25</v>
      </c>
      <c r="C309" s="80">
        <v>0.96399999999999997</v>
      </c>
      <c r="D309" s="156">
        <f t="shared" si="9"/>
        <v>96.399999999999991</v>
      </c>
      <c r="E309" s="156">
        <f t="shared" si="10"/>
        <v>315</v>
      </c>
      <c r="F309" s="80">
        <v>9.86</v>
      </c>
      <c r="G309" s="80">
        <v>0.82</v>
      </c>
      <c r="H309" s="156">
        <f t="shared" si="11"/>
        <v>82</v>
      </c>
      <c r="I309" s="156">
        <f t="shared" si="12"/>
        <v>591.59999999999991</v>
      </c>
    </row>
    <row r="310" spans="2:9" x14ac:dyDescent="0.2">
      <c r="B310" s="80">
        <v>5.31</v>
      </c>
      <c r="C310" s="80">
        <v>0.97499999999999998</v>
      </c>
      <c r="D310" s="156">
        <f t="shared" si="9"/>
        <v>97.5</v>
      </c>
      <c r="E310" s="156">
        <f t="shared" si="10"/>
        <v>318.59999999999997</v>
      </c>
      <c r="F310" s="80">
        <v>10.1</v>
      </c>
      <c r="G310" s="80">
        <v>0.83499999999999996</v>
      </c>
      <c r="H310" s="156">
        <f t="shared" si="11"/>
        <v>83.5</v>
      </c>
      <c r="I310" s="156">
        <f t="shared" si="12"/>
        <v>606</v>
      </c>
    </row>
    <row r="311" spans="2:9" x14ac:dyDescent="0.2">
      <c r="B311" s="80">
        <v>5.41</v>
      </c>
      <c r="C311" s="80">
        <v>0.98599999999999999</v>
      </c>
      <c r="D311" s="156">
        <f t="shared" si="9"/>
        <v>98.6</v>
      </c>
      <c r="E311" s="156">
        <f t="shared" si="10"/>
        <v>324.60000000000002</v>
      </c>
      <c r="F311" s="80">
        <v>10.3</v>
      </c>
      <c r="G311" s="80">
        <v>0.85299999999999998</v>
      </c>
      <c r="H311" s="156">
        <f t="shared" si="11"/>
        <v>85.3</v>
      </c>
      <c r="I311" s="156">
        <f t="shared" si="12"/>
        <v>618</v>
      </c>
    </row>
    <row r="312" spans="2:9" x14ac:dyDescent="0.2">
      <c r="B312" s="80">
        <v>5.57</v>
      </c>
      <c r="C312" s="80">
        <v>0.98599999999999999</v>
      </c>
      <c r="D312" s="156">
        <f t="shared" si="9"/>
        <v>98.6</v>
      </c>
      <c r="E312" s="156">
        <f t="shared" si="10"/>
        <v>334.20000000000005</v>
      </c>
      <c r="F312" s="80">
        <v>10.4</v>
      </c>
      <c r="G312" s="80">
        <v>0.86</v>
      </c>
      <c r="H312" s="156">
        <f t="shared" si="11"/>
        <v>86</v>
      </c>
      <c r="I312" s="156">
        <f t="shared" si="12"/>
        <v>624</v>
      </c>
    </row>
    <row r="313" spans="2:9" x14ac:dyDescent="0.2">
      <c r="B313" s="80">
        <v>5.62</v>
      </c>
      <c r="C313" s="80">
        <v>1</v>
      </c>
      <c r="D313" s="156">
        <f t="shared" si="9"/>
        <v>100</v>
      </c>
      <c r="E313" s="156">
        <f t="shared" si="10"/>
        <v>337.2</v>
      </c>
      <c r="F313" s="80">
        <v>10.7</v>
      </c>
      <c r="G313" s="80">
        <v>0.88100000000000001</v>
      </c>
      <c r="H313" s="156">
        <f t="shared" si="11"/>
        <v>88.1</v>
      </c>
      <c r="I313" s="156">
        <f t="shared" si="12"/>
        <v>642</v>
      </c>
    </row>
    <row r="314" spans="2:9" x14ac:dyDescent="0.2">
      <c r="B314" s="80">
        <v>5.67</v>
      </c>
      <c r="C314" s="80">
        <v>1.01</v>
      </c>
      <c r="D314" s="156">
        <f t="shared" si="9"/>
        <v>101</v>
      </c>
      <c r="E314" s="156">
        <f t="shared" si="10"/>
        <v>340.2</v>
      </c>
      <c r="F314" s="80">
        <v>10.8</v>
      </c>
      <c r="G314" s="80">
        <v>0.89600000000000002</v>
      </c>
      <c r="H314" s="156">
        <f t="shared" si="11"/>
        <v>89.600000000000009</v>
      </c>
      <c r="I314" s="156">
        <f t="shared" si="12"/>
        <v>648</v>
      </c>
    </row>
    <row r="315" spans="2:9" x14ac:dyDescent="0.2">
      <c r="B315" s="80">
        <v>5.78</v>
      </c>
      <c r="C315" s="80">
        <v>1.01</v>
      </c>
      <c r="D315" s="156">
        <f t="shared" si="9"/>
        <v>101</v>
      </c>
      <c r="E315" s="156">
        <f t="shared" si="10"/>
        <v>346.8</v>
      </c>
      <c r="F315" s="80">
        <v>10.9</v>
      </c>
      <c r="G315" s="80">
        <v>0.91</v>
      </c>
      <c r="H315" s="156">
        <f t="shared" si="11"/>
        <v>91</v>
      </c>
      <c r="I315" s="156">
        <f t="shared" si="12"/>
        <v>654</v>
      </c>
    </row>
    <row r="316" spans="2:9" x14ac:dyDescent="0.2">
      <c r="B316" s="80">
        <v>5.98</v>
      </c>
      <c r="C316" s="80">
        <v>1.02</v>
      </c>
      <c r="D316" s="156">
        <f t="shared" si="9"/>
        <v>102</v>
      </c>
      <c r="E316" s="156">
        <f t="shared" si="10"/>
        <v>358.8</v>
      </c>
      <c r="F316" s="80">
        <v>11.1</v>
      </c>
      <c r="G316" s="80">
        <v>0.91700000000000004</v>
      </c>
      <c r="H316" s="156">
        <f t="shared" si="11"/>
        <v>91.7</v>
      </c>
      <c r="I316" s="156">
        <f t="shared" si="12"/>
        <v>666</v>
      </c>
    </row>
    <row r="317" spans="2:9" x14ac:dyDescent="0.2">
      <c r="B317" s="80">
        <v>6.14</v>
      </c>
      <c r="C317" s="80">
        <v>1.03</v>
      </c>
      <c r="D317" s="156">
        <f t="shared" si="9"/>
        <v>103</v>
      </c>
      <c r="E317" s="156">
        <f t="shared" si="10"/>
        <v>368.4</v>
      </c>
      <c r="F317" s="80">
        <v>11.3</v>
      </c>
      <c r="G317" s="80">
        <v>0.92400000000000004</v>
      </c>
      <c r="H317" s="156">
        <f t="shared" si="11"/>
        <v>92.4</v>
      </c>
      <c r="I317" s="156">
        <f t="shared" si="12"/>
        <v>678</v>
      </c>
    </row>
    <row r="318" spans="2:9" x14ac:dyDescent="0.2">
      <c r="B318" s="80">
        <v>6.19</v>
      </c>
      <c r="C318" s="80">
        <v>1.03</v>
      </c>
      <c r="D318" s="156">
        <f t="shared" si="9"/>
        <v>103</v>
      </c>
      <c r="E318" s="156">
        <f t="shared" si="10"/>
        <v>371.40000000000003</v>
      </c>
      <c r="F318" s="80">
        <v>11.4</v>
      </c>
      <c r="G318" s="80">
        <v>0.93500000000000005</v>
      </c>
      <c r="H318" s="156">
        <f t="shared" si="11"/>
        <v>93.5</v>
      </c>
      <c r="I318" s="156">
        <f t="shared" si="12"/>
        <v>684</v>
      </c>
    </row>
    <row r="319" spans="2:9" x14ac:dyDescent="0.2">
      <c r="B319" s="80">
        <v>6.4</v>
      </c>
      <c r="C319" s="80">
        <v>1</v>
      </c>
      <c r="D319" s="156">
        <f t="shared" si="9"/>
        <v>100</v>
      </c>
      <c r="E319" s="156">
        <f t="shared" si="10"/>
        <v>384</v>
      </c>
      <c r="F319" s="80">
        <v>11.6</v>
      </c>
      <c r="G319" s="80">
        <v>0.95</v>
      </c>
      <c r="H319" s="156">
        <f t="shared" si="11"/>
        <v>95</v>
      </c>
      <c r="I319" s="156">
        <f t="shared" si="12"/>
        <v>696</v>
      </c>
    </row>
    <row r="320" spans="2:9" x14ac:dyDescent="0.2">
      <c r="B320" s="80">
        <v>6.6</v>
      </c>
      <c r="C320" s="80">
        <v>1</v>
      </c>
      <c r="D320" s="156">
        <f t="shared" si="9"/>
        <v>100</v>
      </c>
      <c r="E320" s="156">
        <f t="shared" si="10"/>
        <v>396</v>
      </c>
      <c r="F320" s="80">
        <v>11.7</v>
      </c>
      <c r="G320" s="80">
        <v>0.96</v>
      </c>
      <c r="H320" s="156">
        <f t="shared" si="11"/>
        <v>96</v>
      </c>
      <c r="I320" s="156">
        <f t="shared" si="12"/>
        <v>702</v>
      </c>
    </row>
    <row r="321" spans="2:9" x14ac:dyDescent="0.2">
      <c r="B321" s="80">
        <v>6.66</v>
      </c>
      <c r="C321" s="80">
        <v>1.02</v>
      </c>
      <c r="D321" s="156">
        <f t="shared" ref="D321:D323" si="15">100*C321</f>
        <v>102</v>
      </c>
      <c r="E321" s="156">
        <f t="shared" ref="E321:E323" si="16">60*B321</f>
        <v>399.6</v>
      </c>
      <c r="F321" s="80">
        <v>11.9</v>
      </c>
      <c r="G321" s="80">
        <v>0.97099999999999997</v>
      </c>
      <c r="H321" s="156">
        <f t="shared" ref="H321:H332" si="17">100*G321</f>
        <v>97.1</v>
      </c>
      <c r="I321" s="156">
        <f t="shared" ref="I321:I332" si="18">60*F321</f>
        <v>714</v>
      </c>
    </row>
    <row r="322" spans="2:9" x14ac:dyDescent="0.2">
      <c r="B322" s="80">
        <v>6.71</v>
      </c>
      <c r="C322" s="80">
        <v>1.04</v>
      </c>
      <c r="D322" s="156">
        <f t="shared" si="15"/>
        <v>104</v>
      </c>
      <c r="E322" s="156">
        <f t="shared" si="16"/>
        <v>402.6</v>
      </c>
      <c r="F322" s="80">
        <v>12.1</v>
      </c>
      <c r="G322" s="80">
        <v>0.98599999999999999</v>
      </c>
      <c r="H322" s="156">
        <f t="shared" si="17"/>
        <v>98.6</v>
      </c>
      <c r="I322" s="156">
        <f t="shared" si="18"/>
        <v>726</v>
      </c>
    </row>
    <row r="323" spans="2:9" x14ac:dyDescent="0.2">
      <c r="B323" s="80">
        <v>6.86</v>
      </c>
      <c r="C323" s="80">
        <v>1.01</v>
      </c>
      <c r="D323" s="156">
        <f t="shared" si="15"/>
        <v>101</v>
      </c>
      <c r="E323" s="156">
        <f t="shared" si="16"/>
        <v>411.6</v>
      </c>
      <c r="F323" s="80">
        <v>12.3</v>
      </c>
      <c r="G323" s="80">
        <v>1</v>
      </c>
      <c r="H323" s="156">
        <f t="shared" si="17"/>
        <v>100</v>
      </c>
      <c r="I323" s="156">
        <f t="shared" si="18"/>
        <v>738</v>
      </c>
    </row>
    <row r="324" spans="2:9" x14ac:dyDescent="0.2">
      <c r="F324" s="80">
        <v>12.5</v>
      </c>
      <c r="G324" s="80">
        <v>1.01</v>
      </c>
      <c r="H324" s="156">
        <f t="shared" si="17"/>
        <v>101</v>
      </c>
      <c r="I324" s="156">
        <f t="shared" si="18"/>
        <v>750</v>
      </c>
    </row>
    <row r="325" spans="2:9" x14ac:dyDescent="0.2">
      <c r="F325" s="80">
        <v>12.7</v>
      </c>
      <c r="G325" s="80">
        <v>1.03</v>
      </c>
      <c r="H325" s="156">
        <f t="shared" si="17"/>
        <v>103</v>
      </c>
      <c r="I325" s="156">
        <f t="shared" si="18"/>
        <v>762</v>
      </c>
    </row>
    <row r="326" spans="2:9" x14ac:dyDescent="0.2">
      <c r="F326" s="80">
        <v>13.2</v>
      </c>
      <c r="G326" s="80">
        <v>1.03</v>
      </c>
      <c r="H326" s="156">
        <f t="shared" si="17"/>
        <v>103</v>
      </c>
      <c r="I326" s="156">
        <f t="shared" si="18"/>
        <v>792</v>
      </c>
    </row>
    <row r="327" spans="2:9" x14ac:dyDescent="0.2">
      <c r="F327" s="80">
        <v>13.4</v>
      </c>
      <c r="G327" s="80">
        <v>1.05</v>
      </c>
      <c r="H327" s="156">
        <f t="shared" si="17"/>
        <v>105</v>
      </c>
      <c r="I327" s="156">
        <f t="shared" si="18"/>
        <v>804</v>
      </c>
    </row>
    <row r="328" spans="2:9" x14ac:dyDescent="0.2">
      <c r="F328" s="80">
        <v>13.5</v>
      </c>
      <c r="G328" s="80">
        <v>1.04</v>
      </c>
      <c r="H328" s="156">
        <f t="shared" si="17"/>
        <v>104</v>
      </c>
      <c r="I328" s="156">
        <f t="shared" si="18"/>
        <v>810</v>
      </c>
    </row>
    <row r="329" spans="2:9" x14ac:dyDescent="0.2">
      <c r="F329" s="80">
        <v>14</v>
      </c>
      <c r="G329" s="80">
        <v>1.04</v>
      </c>
      <c r="H329" s="156">
        <f t="shared" si="17"/>
        <v>104</v>
      </c>
      <c r="I329" s="156">
        <f t="shared" si="18"/>
        <v>840</v>
      </c>
    </row>
    <row r="330" spans="2:9" x14ac:dyDescent="0.2">
      <c r="F330" s="80">
        <v>14.2</v>
      </c>
      <c r="G330" s="80">
        <v>1.05</v>
      </c>
      <c r="H330" s="156">
        <f t="shared" si="17"/>
        <v>105</v>
      </c>
      <c r="I330" s="156">
        <f t="shared" si="18"/>
        <v>852</v>
      </c>
    </row>
    <row r="331" spans="2:9" x14ac:dyDescent="0.2">
      <c r="F331" s="80">
        <v>14.5</v>
      </c>
      <c r="G331" s="80">
        <v>1.05</v>
      </c>
      <c r="H331" s="156">
        <f t="shared" si="17"/>
        <v>105</v>
      </c>
      <c r="I331" s="156">
        <f t="shared" si="18"/>
        <v>870</v>
      </c>
    </row>
    <row r="332" spans="2:9" x14ac:dyDescent="0.2">
      <c r="F332" s="80">
        <v>15</v>
      </c>
      <c r="G332" s="80">
        <v>1.05</v>
      </c>
      <c r="H332" s="156">
        <f t="shared" si="17"/>
        <v>105</v>
      </c>
      <c r="I332" s="156">
        <f t="shared" si="18"/>
        <v>900</v>
      </c>
    </row>
  </sheetData>
  <hyperlinks>
    <hyperlink ref="B5" location="IVIVC_A" display="IVIVC"/>
  </hyperlink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167</vt:i4>
      </vt:variant>
    </vt:vector>
  </HeadingPairs>
  <TitlesOfParts>
    <vt:vector size="181" baseType="lpstr">
      <vt:lpstr>First Page</vt:lpstr>
      <vt:lpstr>Overview</vt:lpstr>
      <vt:lpstr>Mean Cp_PK</vt:lpstr>
      <vt:lpstr>Indiv Cp_PK</vt:lpstr>
      <vt:lpstr>Dosage form</vt:lpstr>
      <vt:lpstr>Compound</vt:lpstr>
      <vt:lpstr>Physiology</vt:lpstr>
      <vt:lpstr>PK</vt:lpstr>
      <vt:lpstr>Dissolution</vt:lpstr>
      <vt:lpstr>G-plus-results</vt:lpstr>
      <vt:lpstr>Notes</vt:lpstr>
      <vt:lpstr>User manual</vt:lpstr>
      <vt:lpstr>#4Drugs</vt:lpstr>
      <vt:lpstr>Ref</vt:lpstr>
      <vt:lpstr>DF_Beloc_ZOC</vt:lpstr>
      <vt:lpstr>DF_IntelliCap_25619</vt:lpstr>
      <vt:lpstr>DF_Lopressor_OROS</vt:lpstr>
      <vt:lpstr>DF_Lopressor_SR</vt:lpstr>
      <vt:lpstr>DF_Lopressor_Tab_IR</vt:lpstr>
      <vt:lpstr>DF_sol_25619</vt:lpstr>
      <vt:lpstr>DF_Toprol_XL_OROS</vt:lpstr>
      <vt:lpstr>Diss_Al_Saidan2004_tab</vt:lpstr>
      <vt:lpstr>Diss_Eddingtion1998_fast</vt:lpstr>
      <vt:lpstr>Diss_Eddingtion1998_moderate</vt:lpstr>
      <vt:lpstr>Diss_Eddingtion1998_slow</vt:lpstr>
      <vt:lpstr>Diss_Sandberg1988_ZOC</vt:lpstr>
      <vt:lpstr>Diss_Söderlind2015_A</vt:lpstr>
      <vt:lpstr>Diss_Söderlind2015_B</vt:lpstr>
      <vt:lpstr>Diss_Söderlind2015_C</vt:lpstr>
      <vt:lpstr>Diss_Söderlind2015_D</vt:lpstr>
      <vt:lpstr>Ind_Cp_Albin1993_IR</vt:lpstr>
      <vt:lpstr>Ind_Cp_Albin1993_MR</vt:lpstr>
      <vt:lpstr>Ind_Cp_Söderlind2015_A</vt:lpstr>
      <vt:lpstr>Ind_Cp_Söderlind2015_B</vt:lpstr>
      <vt:lpstr>Ind_Cp_Söderlind2015_C</vt:lpstr>
      <vt:lpstr>Ind_Cp_Söderlind2015_D</vt:lpstr>
      <vt:lpstr>IVIVC_A</vt:lpstr>
      <vt:lpstr>Mean_Cp_Abrahamsson1990_fast_IR</vt:lpstr>
      <vt:lpstr>Mean_Cp_Abrahamsson1990_fast_MR</vt:lpstr>
      <vt:lpstr>Mean_Cp_Al_Saidan2004_IR</vt:lpstr>
      <vt:lpstr>Mean_Cp_Albin1993_DS</vt:lpstr>
      <vt:lpstr>Mean_Cp_Albin1993_MR</vt:lpstr>
      <vt:lpstr>Mean_Cp_Borg1975_iv_0_5mg</vt:lpstr>
      <vt:lpstr>Mean_Cp_Borg1975_iv_0_5mg_SS</vt:lpstr>
      <vt:lpstr>Mean_Cp_Borg1975_iv_2mg</vt:lpstr>
      <vt:lpstr>Mean_Cp_Borg1975_po_0_5mg</vt:lpstr>
      <vt:lpstr>Mean_Cp_Borg1975_po_2mg</vt:lpstr>
      <vt:lpstr>Mean_Cp_Eddingtion1998_solution</vt:lpstr>
      <vt:lpstr>Mean_Cp_Eddingtion1998_SR_fast</vt:lpstr>
      <vt:lpstr>Mean_Cp_Eddingtion1998_SR_medium</vt:lpstr>
      <vt:lpstr>Mean_Cp_Eddingtion1998_SR_slow</vt:lpstr>
      <vt:lpstr>Mean_Cp_Gao2010_HCT</vt:lpstr>
      <vt:lpstr>Mean_Cp_Gao2010_Meto</vt:lpstr>
      <vt:lpstr>Mean_Cp_Goodbillon1985a</vt:lpstr>
      <vt:lpstr>Mean_Cp_Goodbillon1985b</vt:lpstr>
      <vt:lpstr>Mean_Cp_Grainger1985_IR</vt:lpstr>
      <vt:lpstr>Mean_Cp_Grainger1985_OROS</vt:lpstr>
      <vt:lpstr>Mean_Cp_Kendall1982_MR</vt:lpstr>
      <vt:lpstr>Mean_Cp_Kendall1982_MR_8</vt:lpstr>
      <vt:lpstr>Mean_Cp_Kendall1982_OROS</vt:lpstr>
      <vt:lpstr>Mean_Cp_Kendall1982_OROS_8</vt:lpstr>
      <vt:lpstr>Mean_Cp_Kerkhof2014</vt:lpstr>
      <vt:lpstr>Mean_Cp_Lecaillon1985_fast</vt:lpstr>
      <vt:lpstr>Mean_Cp_Lecaillon1985_fast_M</vt:lpstr>
      <vt:lpstr>Mean_Cp_Lecaillon1985_fed_B</vt:lpstr>
      <vt:lpstr>Mean_Cp_Lecaillon1985_fed_D</vt:lpstr>
      <vt:lpstr>Mean_Cp_Lecaillon1985_fed_L</vt:lpstr>
      <vt:lpstr>Mean_Cp_Lecaillon1985_fed_M_B</vt:lpstr>
      <vt:lpstr>Mean_Cp_Lecaillon1985_fed_M_D</vt:lpstr>
      <vt:lpstr>Mean_Cp_Lecaillon1985_fed_M_L</vt:lpstr>
      <vt:lpstr>Mean_Cp_Löbenberg2005_iv</vt:lpstr>
      <vt:lpstr>Mean_Cp_Löbenberg2005_po_IR</vt:lpstr>
      <vt:lpstr>Mean_Cp_Löbenberg2005_po_MR</vt:lpstr>
      <vt:lpstr>Mean_Cp_Löbenberg2005_po_pulsed</vt:lpstr>
      <vt:lpstr>Mean_Cp_Masaoka2006_jejunum</vt:lpstr>
      <vt:lpstr>Mean_Cp_Nyberg2007_colon</vt:lpstr>
      <vt:lpstr>Mean_Cp_Nyberg2007_illeum</vt:lpstr>
      <vt:lpstr>Mean_Cp_Nyberg2007_jejunum</vt:lpstr>
      <vt:lpstr>Mean_Cp_Regardh1974_iv</vt:lpstr>
      <vt:lpstr>Mean_Cp_Regardh1974_iv_metab</vt:lpstr>
      <vt:lpstr>Mean_Cp_Regardh1974_po</vt:lpstr>
      <vt:lpstr>Mean_Cp_Regardh1974_po_metab</vt:lpstr>
      <vt:lpstr>Mean_Cp_Regardh1975_IR</vt:lpstr>
      <vt:lpstr>Mean_Cp_Regardh1975_MR</vt:lpstr>
      <vt:lpstr>Mean_Cp_Regardh1980_iv</vt:lpstr>
      <vt:lpstr>Mean_Cp_Regardh1980_iv_multiple</vt:lpstr>
      <vt:lpstr>Mean_Cp_Sandberg1988_100_ZOK</vt:lpstr>
      <vt:lpstr>Mean_Cp_Sandberg1988_200_IR</vt:lpstr>
      <vt:lpstr>Mean_Cp_Sandberg1988_200_Prelis</vt:lpstr>
      <vt:lpstr>Mean_Cp_Sandberg1988_200_Sel</vt:lpstr>
      <vt:lpstr>Mean_Cp_Sandberg1988_200_SR</vt:lpstr>
      <vt:lpstr>Mean_Cp_Sandberg1988_200_ZOK</vt:lpstr>
      <vt:lpstr>Mean_Cp_Sandberg1988_50_ZOK</vt:lpstr>
      <vt:lpstr>Mean_Cp_Sandberg1988_50_ZOK_fed</vt:lpstr>
      <vt:lpstr>Mean_Cp_Soederlind2015_b</vt:lpstr>
      <vt:lpstr>Mean_Cp_Soederlind2015_c</vt:lpstr>
      <vt:lpstr>Mean_Cp_Soederlind2015_d</vt:lpstr>
      <vt:lpstr>Mean_Cp_Soederlind2015_e</vt:lpstr>
      <vt:lpstr>Mean_CP_Stout2011_MetoER</vt:lpstr>
      <vt:lpstr>Mean_CP_Stout2011_MetoeRParIR</vt:lpstr>
      <vt:lpstr>Mean_CP_Stout2011_MetoIR</vt:lpstr>
      <vt:lpstr>Mean_CP_Stout2011_MetoIRParIR</vt:lpstr>
      <vt:lpstr>Path</vt:lpstr>
      <vt:lpstr>'G-plus-results'!Sim_001</vt:lpstr>
      <vt:lpstr>'G-plus-results'!SIM_003</vt:lpstr>
      <vt:lpstr>'G-plus-results'!SIM_004</vt:lpstr>
      <vt:lpstr>'G-plus-results'!SIM_005</vt:lpstr>
      <vt:lpstr>'G-plus-results'!SIM_006</vt:lpstr>
      <vt:lpstr>'G-plus-results'!SIM_007</vt:lpstr>
      <vt:lpstr>SIM_008</vt:lpstr>
      <vt:lpstr>'G-plus-results'!SIM_009</vt:lpstr>
      <vt:lpstr>'G-plus-results'!SIM_010</vt:lpstr>
      <vt:lpstr>'G-plus-results'!SIM_011</vt:lpstr>
      <vt:lpstr>'G-plus-results'!SIM_012</vt:lpstr>
      <vt:lpstr>'G-plus-results'!SIM_013</vt:lpstr>
      <vt:lpstr>'G-plus-results'!SIM_014</vt:lpstr>
      <vt:lpstr>'G-plus-results'!SIM_015</vt:lpstr>
      <vt:lpstr>'G-plus-results'!SIM_016</vt:lpstr>
      <vt:lpstr>'G-plus-results'!SIM_017</vt:lpstr>
      <vt:lpstr>'G-plus-results'!SIM_018</vt:lpstr>
      <vt:lpstr>'G-plus-results'!SIM_019</vt:lpstr>
      <vt:lpstr>'G-plus-results'!SIM_020</vt:lpstr>
      <vt:lpstr>'G-plus-results'!SIM_021</vt:lpstr>
      <vt:lpstr>'G-plus-results'!SIM_022</vt:lpstr>
      <vt:lpstr>'G-plus-results'!SIM_023</vt:lpstr>
      <vt:lpstr>'G-plus-results'!SIM_024</vt:lpstr>
      <vt:lpstr>'G-plus-results'!SIM_025</vt:lpstr>
      <vt:lpstr>SIM_026</vt:lpstr>
      <vt:lpstr>SIM_027</vt:lpstr>
      <vt:lpstr>SIM_028</vt:lpstr>
      <vt:lpstr>SIM_029</vt:lpstr>
      <vt:lpstr>SIM_030</vt:lpstr>
      <vt:lpstr>SIM_031</vt:lpstr>
      <vt:lpstr>SIM_032</vt:lpstr>
      <vt:lpstr>SIM_033</vt:lpstr>
      <vt:lpstr>SIM_034</vt:lpstr>
      <vt:lpstr>SIM_035</vt:lpstr>
      <vt:lpstr>SIM_036</vt:lpstr>
      <vt:lpstr>SIM_037</vt:lpstr>
      <vt:lpstr>SIM_038</vt:lpstr>
      <vt:lpstr>SIM_040</vt:lpstr>
      <vt:lpstr>SIM_041</vt:lpstr>
      <vt:lpstr>SIM_042</vt:lpstr>
      <vt:lpstr>SIM_043</vt:lpstr>
      <vt:lpstr>SIM_044</vt:lpstr>
      <vt:lpstr>SIM_045</vt:lpstr>
      <vt:lpstr>SIM_046</vt:lpstr>
      <vt:lpstr>SIM_047</vt:lpstr>
      <vt:lpstr>SIM_048</vt:lpstr>
      <vt:lpstr>SIM_049</vt:lpstr>
      <vt:lpstr>SIM_050</vt:lpstr>
      <vt:lpstr>SIM_051</vt:lpstr>
      <vt:lpstr>SIM_052</vt:lpstr>
      <vt:lpstr>SIM_053</vt:lpstr>
      <vt:lpstr>SIM_054</vt:lpstr>
      <vt:lpstr>SIM_055</vt:lpstr>
      <vt:lpstr>SIM_056</vt:lpstr>
      <vt:lpstr>SIM_057</vt:lpstr>
      <vt:lpstr>SIM_058</vt:lpstr>
      <vt:lpstr>SIM_059</vt:lpstr>
      <vt:lpstr>SIM_060</vt:lpstr>
      <vt:lpstr>SIM_061</vt:lpstr>
      <vt:lpstr>SIM_062</vt:lpstr>
      <vt:lpstr>SIM_063</vt:lpstr>
      <vt:lpstr>SIM_064</vt:lpstr>
      <vt:lpstr>SIM_065</vt:lpstr>
      <vt:lpstr>SIM_066</vt:lpstr>
      <vt:lpstr>SIM_067</vt:lpstr>
      <vt:lpstr>SIM_068</vt:lpstr>
      <vt:lpstr>SIM_069</vt:lpstr>
      <vt:lpstr>SIM_070</vt:lpstr>
      <vt:lpstr>SIM_071</vt:lpstr>
      <vt:lpstr>SIM_072</vt:lpstr>
      <vt:lpstr>SIM_073</vt:lpstr>
      <vt:lpstr>SIM_074</vt:lpstr>
      <vt:lpstr>SIM_075</vt:lpstr>
      <vt:lpstr>SIM_076</vt:lpstr>
      <vt:lpstr>SIM_077</vt:lpstr>
      <vt:lpstr>SIM_078</vt:lpstr>
      <vt:lpstr>SIM_079</vt:lpstr>
      <vt:lpstr>SIM_080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2016-02-20T18:08:12Z</dcterms:created>
  <dcterms:modified xsi:type="dcterms:W3CDTF">2016-03-02T14:43:29Z</dcterms:modified>
</cp:coreProperties>
</file>